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23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<sst xmlns="http://schemas.openxmlformats.org/spreadsheetml/2006/main" count="150" uniqueCount="121">
  <si>
    <t>Annual Inflation</t>
  </si>
  <si>
    <t>FTE of postdoc</t>
  </si>
  <si>
    <t>PI Withers FTE</t>
  </si>
  <si>
    <t>FTE of Graduate Research Assistant</t>
  </si>
  <si>
    <t>TBD postdoc at another institution for data analysis</t>
  </si>
  <si>
    <t>(Direct Costs - Equipment)</t>
  </si>
  <si>
    <t>PI Withers, graduate research associate salary</t>
  </si>
  <si>
    <t>TBD postdoc for software development, salary</t>
  </si>
  <si>
    <t>TBD Graduate Research Assistant, salary</t>
  </si>
  <si>
    <t xml:space="preserve">$300 weekly car rental, </t>
  </si>
  <si>
    <t>Express shipping, Xerox, Long Distance</t>
  </si>
  <si>
    <t>Cost per Ithaca trip = $400 flight,</t>
  </si>
  <si>
    <t>Number of Science Team meetings at Ithaca</t>
  </si>
  <si>
    <t>Cost per Conference (as Ithaca)</t>
  </si>
  <si>
    <t>Number of Week-long Scientific Conferences</t>
  </si>
  <si>
    <t>One Technical Meeting at Launch Site (1 week)</t>
  </si>
  <si>
    <t>Number of Science Team meetings in Europe</t>
  </si>
  <si>
    <t>Cost per meeting, 1 week</t>
  </si>
  <si>
    <t>Cost per Europe trip = $1000 flight,</t>
  </si>
  <si>
    <t>$150 room and $100 food per day</t>
  </si>
  <si>
    <t>ASP Patch Prize</t>
  </si>
  <si>
    <t>Local E/PO Activities</t>
  </si>
  <si>
    <t xml:space="preserve">Number of 2 day E/PO Trips </t>
  </si>
  <si>
    <t>Cost per E/PO Trip (as Ithaca)</t>
  </si>
  <si>
    <t>Education/Public Outreach</t>
  </si>
  <si>
    <t>Conference Registrations</t>
  </si>
  <si>
    <t>Publication and Reprint Charges</t>
  </si>
  <si>
    <t>Other Costs</t>
  </si>
  <si>
    <t>General and Administrative Basis</t>
  </si>
  <si>
    <t>General and Administrative Expense (51.5%)</t>
  </si>
  <si>
    <t>Fee</t>
  </si>
  <si>
    <t>E/PO (100% of E/PO line, 5% of everything else)</t>
  </si>
  <si>
    <t>Mission Ops (100% of non E/PO lines in</t>
  </si>
  <si>
    <t xml:space="preserve"> FY02, FY03, half of FY04)</t>
  </si>
  <si>
    <t xml:space="preserve">Data Analysis (100% of non E/PO lines in </t>
  </si>
  <si>
    <t>half of FY04, all of FY05)</t>
  </si>
  <si>
    <t>Ralph D Lorenz</t>
  </si>
  <si>
    <t>Real Year $</t>
  </si>
  <si>
    <t>FY 04</t>
  </si>
  <si>
    <t>Direct Labor</t>
  </si>
  <si>
    <t>Overhead</t>
  </si>
  <si>
    <t>Materials</t>
  </si>
  <si>
    <t>Special Equipment</t>
  </si>
  <si>
    <t>Travel</t>
  </si>
  <si>
    <t xml:space="preserve">Other </t>
  </si>
  <si>
    <t>Subcontracts</t>
  </si>
  <si>
    <t>Period (months)</t>
  </si>
  <si>
    <t>PI Lorenz salary</t>
  </si>
  <si>
    <t>PI Lorenz FTE</t>
  </si>
  <si>
    <t>Admin Support salary</t>
  </si>
  <si>
    <t>Admin Support FTE</t>
  </si>
  <si>
    <t>Experiment supplies</t>
  </si>
  <si>
    <t>Office supplies, computer consumables</t>
  </si>
  <si>
    <t>JPL Travel</t>
  </si>
  <si>
    <t>Workshop support ($30/hr)</t>
  </si>
  <si>
    <t>General &amp; Admin (51.5%)</t>
  </si>
  <si>
    <t>Electronic Parts</t>
  </si>
  <si>
    <t>Total</t>
  </si>
  <si>
    <t>1 Conference Trip (example, Subsurface Sensing Technology 2000, San Diego, July 2000)</t>
  </si>
  <si>
    <t>1 Technical Meeting at Launch site (1 week)</t>
  </si>
  <si>
    <t>Conference Registration (estimate)</t>
  </si>
  <si>
    <t>G &amp; A Basis (direct costs - equipment)</t>
  </si>
  <si>
    <t>Postdoc Salary</t>
  </si>
  <si>
    <t>Postdoc FTE</t>
  </si>
  <si>
    <t xml:space="preserve"> Oct 02</t>
  </si>
  <si>
    <t xml:space="preserve"> Oct 03</t>
  </si>
  <si>
    <t>to Sep 03</t>
  </si>
  <si>
    <t>FY 02</t>
  </si>
  <si>
    <t>FY 03</t>
  </si>
  <si>
    <t>Publications Costs</t>
  </si>
  <si>
    <t># of person-trips for Technical Meetings</t>
  </si>
  <si>
    <t>Cost of  each Trip (assume JPL, 2 days)</t>
  </si>
  <si>
    <t>Student Salary (Summer)</t>
  </si>
  <si>
    <t>Books</t>
  </si>
  <si>
    <t>Development Phase</t>
  </si>
  <si>
    <t>Software &amp; Maintenance</t>
  </si>
  <si>
    <t>E/PO</t>
  </si>
  <si>
    <t>FY 05</t>
  </si>
  <si>
    <t>Nov 01</t>
  </si>
  <si>
    <t xml:space="preserve"> to Sep 02</t>
  </si>
  <si>
    <t>to Sep 04</t>
  </si>
  <si>
    <t>to Sep 05</t>
  </si>
  <si>
    <t xml:space="preserve"> Oct 04</t>
  </si>
  <si>
    <t>Staff Benefits 20.1%</t>
  </si>
  <si>
    <t>Faculty Benefits 19.6%</t>
  </si>
  <si>
    <t>Mars Reconnaissance Orbiter Subsurface Radar Proposal</t>
  </si>
  <si>
    <t>1 Instrument Team Meeting (assume Europe)</t>
  </si>
  <si>
    <t>Phase A</t>
  </si>
  <si>
    <t>Phase B</t>
  </si>
  <si>
    <t>C/D</t>
  </si>
  <si>
    <t>11/01-1/02</t>
  </si>
  <si>
    <t>1/02-7/02</t>
  </si>
  <si>
    <t>8/02-9/05</t>
  </si>
  <si>
    <t>PC/ Workstation</t>
  </si>
  <si>
    <t>Ancillary Equipment</t>
  </si>
  <si>
    <t>Express Shipping, Xerox, Long Distance</t>
  </si>
  <si>
    <t>Student Benefits 4%</t>
  </si>
  <si>
    <t>(Graduate Reearch Assistant rate)</t>
  </si>
  <si>
    <t>FY 02$</t>
  </si>
  <si>
    <t>&lt; FY02$ + Real Yr $ / Inflation Factor</t>
  </si>
  <si>
    <t>nonEPO</t>
  </si>
  <si>
    <t>EPO(5%)</t>
  </si>
  <si>
    <t>Paul Withers</t>
  </si>
  <si>
    <t>MER 2003 Budget</t>
  </si>
  <si>
    <t>Apr 02</t>
  </si>
  <si>
    <t>Books, computer consumables, office supplies</t>
  </si>
  <si>
    <t>Laptop computer</t>
  </si>
  <si>
    <t>Number of Science Team meetings at JPL</t>
  </si>
  <si>
    <t>Number of ORTs at JPL</t>
  </si>
  <si>
    <t>Cost per meeting, 3 days + 1 travel day</t>
  </si>
  <si>
    <t>Cost per ORT, 5 days + 1 travel day</t>
  </si>
  <si>
    <t>Number of Rover fieldtests at JPL</t>
  </si>
  <si>
    <t>Cost per fieldtest, 10 days + 1 travel day</t>
  </si>
  <si>
    <t>Landed mission at JPL, 105 days</t>
  </si>
  <si>
    <t xml:space="preserve"> $200 weekly car rental, </t>
  </si>
  <si>
    <t>$100 room and $40 food per day</t>
  </si>
  <si>
    <t>Two flights away from JPL during landed mission</t>
  </si>
  <si>
    <t>Annual 2 day trip to JPL for instrument activities</t>
  </si>
  <si>
    <t>Cost per JPL trip = $200 flight,</t>
  </si>
  <si>
    <t>Software and Computer Maintenance</t>
  </si>
  <si>
    <t>Unix workstation, eg Sun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</si>
</sst>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  <numFmt numFmtId="166" formatCode="0.000"/>
    <numFmt numFmtId="167" formatCode="0.0000000000"/>
    <numFmt numFmtId="168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 quotePrefix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19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">
      <selection activeCell="A28" sqref="A28"/>
    </sheetView>
  </sheetViews>
  <sheetFormatPr defaultColWidth="11.421875" defaultRowHeight="12.75"/>
  <cols>
    <col min="1" max="1" width="41.140625" style="0" customWidth="1"/>
    <col min="2" max="3" width="9.140625" style="3" customWidth="1"/>
    <col min="4" max="4" width="10.421875" style="3" customWidth="1"/>
    <col min="5" max="5" width="11.28125" style="3" customWidth="1"/>
    <col min="6" max="6" width="9.7109375" style="0" bestFit="1" customWidth="1"/>
    <col min="7" max="7" width="9.421875" style="0" bestFit="1" customWidth="1"/>
    <col min="8" max="8" width="18.8515625" style="0" customWidth="1"/>
    <col min="9" max="9" width="16.140625" style="0" customWidth="1"/>
    <col min="10" max="10" width="15.140625" style="0" customWidth="1"/>
    <col min="11" max="16384" width="8.8515625" style="0" customWidth="1"/>
  </cols>
  <sheetData>
    <row r="1" spans="1:5" ht="12">
      <c r="A1" s="1" t="s">
        <v>102</v>
      </c>
      <c r="B1" s="4" t="s">
        <v>103</v>
      </c>
      <c r="C1" s="4"/>
      <c r="D1" s="4"/>
      <c r="E1" s="4"/>
    </row>
    <row r="2" spans="1:5" ht="12">
      <c r="A2" s="1"/>
      <c r="B2" s="4"/>
      <c r="C2" s="4"/>
      <c r="D2" s="4"/>
      <c r="E2" s="4"/>
    </row>
    <row r="3" spans="1:5" ht="12">
      <c r="A3" s="21" t="s">
        <v>0</v>
      </c>
      <c r="B3" s="20">
        <v>1.03</v>
      </c>
      <c r="C3" s="4"/>
      <c r="D3" s="4"/>
      <c r="E3" s="4"/>
    </row>
    <row r="4" spans="1:4" ht="12">
      <c r="A4" s="1"/>
      <c r="B4" s="4"/>
      <c r="C4" s="4"/>
      <c r="D4" s="20" t="s">
        <v>37</v>
      </c>
    </row>
    <row r="6" spans="2:8" ht="12">
      <c r="B6" s="18" t="s">
        <v>104</v>
      </c>
      <c r="C6" s="3" t="s">
        <v>64</v>
      </c>
      <c r="D6" s="3" t="s">
        <v>65</v>
      </c>
      <c r="E6" s="3" t="s">
        <v>82</v>
      </c>
      <c r="F6" s="1" t="s">
        <v>57</v>
      </c>
      <c r="H6" s="23"/>
    </row>
    <row r="7" spans="2:8" ht="12">
      <c r="B7" s="3" t="s">
        <v>79</v>
      </c>
      <c r="C7" s="3" t="s">
        <v>66</v>
      </c>
      <c r="D7" s="3" t="s">
        <v>80</v>
      </c>
      <c r="E7" s="3" t="s">
        <v>81</v>
      </c>
      <c r="H7" s="22"/>
    </row>
    <row r="8" spans="2:10" ht="12">
      <c r="B8" s="3" t="s">
        <v>67</v>
      </c>
      <c r="C8" s="3" t="s">
        <v>68</v>
      </c>
      <c r="D8" s="3" t="s">
        <v>38</v>
      </c>
      <c r="E8" s="3" t="s">
        <v>77</v>
      </c>
      <c r="I8" s="24"/>
      <c r="J8" s="24"/>
    </row>
    <row r="9" spans="1:5" ht="12">
      <c r="A9" t="s">
        <v>46</v>
      </c>
      <c r="B9" s="3">
        <v>6</v>
      </c>
      <c r="C9" s="3">
        <v>12</v>
      </c>
      <c r="D9" s="3">
        <v>12</v>
      </c>
      <c r="E9" s="3">
        <v>12</v>
      </c>
    </row>
    <row r="11" spans="1:6" ht="12">
      <c r="A11" t="s">
        <v>6</v>
      </c>
      <c r="B11" s="12">
        <v>21617</v>
      </c>
      <c r="C11" s="12">
        <f>B11*B3</f>
        <v>22265.510000000002</v>
      </c>
      <c r="D11" s="12">
        <f>C11*B3</f>
        <v>22933.475300000002</v>
      </c>
      <c r="E11" s="12">
        <f>D11*B3</f>
        <v>23621.479559000003</v>
      </c>
      <c r="F11" s="12"/>
    </row>
    <row r="12" spans="1:6" ht="12">
      <c r="A12" t="s">
        <v>2</v>
      </c>
      <c r="B12" s="3">
        <v>0.5</v>
      </c>
      <c r="C12" s="3">
        <v>0.5</v>
      </c>
      <c r="D12" s="3">
        <v>0.75</v>
      </c>
      <c r="E12" s="3">
        <v>0.75</v>
      </c>
      <c r="F12" s="12"/>
    </row>
    <row r="13" spans="2:6" ht="12">
      <c r="B13" s="26">
        <f>B11*B12*B$9/12</f>
        <v>5404.25</v>
      </c>
      <c r="C13" s="26">
        <f>C11*C12*C$9/12</f>
        <v>11132.755</v>
      </c>
      <c r="D13" s="26">
        <f>D11*D12*D$9/12</f>
        <v>17200.106475</v>
      </c>
      <c r="E13" s="26">
        <f>E11*E12*E$9/12</f>
        <v>17716.109669250003</v>
      </c>
      <c r="F13" s="12"/>
    </row>
    <row r="14" spans="2:6" ht="12">
      <c r="B14" s="12"/>
      <c r="C14" s="12"/>
      <c r="D14" s="12"/>
      <c r="E14" s="12"/>
      <c r="F14" s="12"/>
    </row>
    <row r="15" spans="1:6" ht="12">
      <c r="A15" t="s">
        <v>7</v>
      </c>
      <c r="B15" s="12">
        <v>30000</v>
      </c>
      <c r="C15" s="12">
        <f>B15*B3</f>
        <v>30900</v>
      </c>
      <c r="D15" s="12">
        <f>C15*B3</f>
        <v>31827</v>
      </c>
      <c r="E15" s="12">
        <f>D15*B3</f>
        <v>32781.81</v>
      </c>
      <c r="F15" s="12"/>
    </row>
    <row r="16" spans="1:6" ht="12">
      <c r="A16" t="s">
        <v>1</v>
      </c>
      <c r="B16" s="3">
        <v>0</v>
      </c>
      <c r="C16" s="3">
        <f>(0.67*C15+0.33*C11-11000-C13)/C15*0+0.2</f>
        <v>0.2</v>
      </c>
      <c r="D16" s="3">
        <f>(D15-5500-D13)/D15*0+0.3</f>
        <v>0.3</v>
      </c>
      <c r="E16" s="3">
        <f>(0.75*E15-E13)/E15*0+0.2</f>
        <v>0.2</v>
      </c>
      <c r="F16" s="12"/>
    </row>
    <row r="17" spans="2:6" ht="12">
      <c r="B17" s="26">
        <f>B15*B16*B$9/12</f>
        <v>0</v>
      </c>
      <c r="C17" s="26">
        <f>C15*C16*C$9/12</f>
        <v>6180</v>
      </c>
      <c r="D17" s="26">
        <f>D15*D16*D$9/12</f>
        <v>9548.1</v>
      </c>
      <c r="E17" s="26">
        <f>E15*E16*E$9/12</f>
        <v>6556.362</v>
      </c>
      <c r="F17" s="12"/>
    </row>
    <row r="18" spans="2:6" ht="12">
      <c r="B18" s="12"/>
      <c r="C18" s="12"/>
      <c r="D18" s="12"/>
      <c r="E18" s="12"/>
      <c r="F18" s="12"/>
    </row>
    <row r="19" spans="1:6" ht="12">
      <c r="A19" t="s">
        <v>8</v>
      </c>
      <c r="B19" s="12">
        <v>19323</v>
      </c>
      <c r="C19" s="12">
        <f>B19*B3</f>
        <v>19902.690000000002</v>
      </c>
      <c r="D19" s="12">
        <f>C19*B3</f>
        <v>20499.770700000005</v>
      </c>
      <c r="E19" s="12">
        <f>D19*B3</f>
        <v>21114.763821000004</v>
      </c>
      <c r="F19" s="12"/>
    </row>
    <row r="20" spans="1:6" ht="12">
      <c r="A20" t="s">
        <v>3</v>
      </c>
      <c r="B20" s="3">
        <v>0</v>
      </c>
      <c r="C20" s="3">
        <v>0</v>
      </c>
      <c r="D20" s="3">
        <v>0.5</v>
      </c>
      <c r="E20" s="3">
        <v>0.5</v>
      </c>
      <c r="F20" s="12"/>
    </row>
    <row r="21" spans="2:6" ht="12">
      <c r="B21" s="26">
        <f>B19*B20*B$9/12</f>
        <v>0</v>
      </c>
      <c r="C21" s="26">
        <f>C19*C20*C$9/12</f>
        <v>0</v>
      </c>
      <c r="D21" s="26">
        <f>D19*D20*D$9/12</f>
        <v>10249.885350000002</v>
      </c>
      <c r="E21" s="26">
        <f>E19*E20*E$9/12</f>
        <v>10557.381910500002</v>
      </c>
      <c r="F21" s="12"/>
    </row>
    <row r="22" spans="1:10" ht="12">
      <c r="A22" s="2" t="s">
        <v>39</v>
      </c>
      <c r="B22" s="27">
        <f>B13+B17+B21</f>
        <v>5404.25</v>
      </c>
      <c r="C22" s="27">
        <f>C13+C17+C21</f>
        <v>17312.754999999997</v>
      </c>
      <c r="D22" s="27">
        <f>D13+D17+D21</f>
        <v>36998.091825</v>
      </c>
      <c r="E22" s="27">
        <f>E13+E17+E21</f>
        <v>34829.85357975001</v>
      </c>
      <c r="F22" s="27">
        <f>SUM(B22:E22)</f>
        <v>94544.95040475001</v>
      </c>
      <c r="H22" s="3"/>
      <c r="I22" s="3"/>
      <c r="J22" s="3"/>
    </row>
    <row r="23" spans="2:6" ht="12">
      <c r="B23" s="28"/>
      <c r="C23" s="28"/>
      <c r="D23" s="28"/>
      <c r="E23" s="28"/>
      <c r="F23" s="12"/>
    </row>
    <row r="24" spans="1:6" ht="12">
      <c r="A24" s="17" t="s">
        <v>96</v>
      </c>
      <c r="B24" s="12">
        <f>0.04*(B13+B21)</f>
        <v>216.17000000000002</v>
      </c>
      <c r="C24" s="12">
        <f>0.04*(C13+C21)</f>
        <v>445.31019999999995</v>
      </c>
      <c r="D24" s="12">
        <f>0.04*(D13+D21)</f>
        <v>1097.9996730000003</v>
      </c>
      <c r="E24" s="12">
        <f>0.04*(E13+E21)</f>
        <v>1130.9396631900004</v>
      </c>
      <c r="F24" s="12"/>
    </row>
    <row r="25" spans="1:6" ht="12">
      <c r="A25" t="s">
        <v>84</v>
      </c>
      <c r="B25" s="12">
        <f>0.196*(B17)</f>
        <v>0</v>
      </c>
      <c r="C25" s="12">
        <f>0.196*(C17)</f>
        <v>1211.28</v>
      </c>
      <c r="D25" s="12">
        <f>0.196*(D17)</f>
        <v>1871.4276000000002</v>
      </c>
      <c r="E25" s="12">
        <f>0.196*(E17)</f>
        <v>1285.0469520000001</v>
      </c>
      <c r="F25" s="12"/>
    </row>
    <row r="26" spans="1:10" ht="12">
      <c r="A26" s="2" t="s">
        <v>40</v>
      </c>
      <c r="B26" s="27">
        <f>B25+B24</f>
        <v>216.17000000000002</v>
      </c>
      <c r="C26" s="27">
        <f>C25+C24</f>
        <v>1656.5901999999999</v>
      </c>
      <c r="D26" s="27">
        <f>D25+D24</f>
        <v>2969.4272730000002</v>
      </c>
      <c r="E26" s="27">
        <f>E25+E24</f>
        <v>2415.9866151900005</v>
      </c>
      <c r="F26" s="27">
        <f>SUM(B26:E26)</f>
        <v>7258.1740881900005</v>
      </c>
      <c r="H26" s="3"/>
      <c r="I26" s="3"/>
      <c r="J26" s="3"/>
    </row>
    <row r="27" spans="2:6" ht="12">
      <c r="B27" s="28"/>
      <c r="C27" s="28"/>
      <c r="D27" s="28"/>
      <c r="E27" s="28"/>
      <c r="F27" s="12"/>
    </row>
    <row r="28" spans="1:6" ht="12">
      <c r="A28" t="s">
        <v>105</v>
      </c>
      <c r="B28" s="12">
        <v>500</v>
      </c>
      <c r="C28" s="12">
        <f>B28*B3</f>
        <v>515</v>
      </c>
      <c r="D28" s="12">
        <f>C28*B3</f>
        <v>530.45</v>
      </c>
      <c r="E28" s="12">
        <f>D28*B3</f>
        <v>546.3635</v>
      </c>
      <c r="F28" s="12"/>
    </row>
    <row r="29" spans="1:10" ht="12">
      <c r="A29" s="2" t="s">
        <v>41</v>
      </c>
      <c r="B29" s="27">
        <f>B28</f>
        <v>500</v>
      </c>
      <c r="C29" s="27">
        <f>C28</f>
        <v>515</v>
      </c>
      <c r="D29" s="27">
        <f>D28</f>
        <v>530.45</v>
      </c>
      <c r="E29" s="27">
        <f>E28</f>
        <v>546.3635</v>
      </c>
      <c r="F29" s="27">
        <f>SUM(B29:E29)</f>
        <v>2091.8135</v>
      </c>
      <c r="H29" s="3"/>
      <c r="I29" s="3"/>
      <c r="J29" s="3"/>
    </row>
    <row r="30" spans="1:10" ht="12">
      <c r="A30" s="14"/>
      <c r="B30" s="29"/>
      <c r="C30" s="29"/>
      <c r="D30" s="29"/>
      <c r="E30" s="29"/>
      <c r="F30" s="29"/>
      <c r="H30" s="3"/>
      <c r="I30" s="3"/>
      <c r="J30" s="3"/>
    </row>
    <row r="31" spans="1:10" ht="12">
      <c r="A31" t="s">
        <v>4</v>
      </c>
      <c r="B31" s="12">
        <v>30000</v>
      </c>
      <c r="C31" s="12">
        <f>B31*B3</f>
        <v>30900</v>
      </c>
      <c r="D31" s="12">
        <f>C31*B3</f>
        <v>31827</v>
      </c>
      <c r="E31" s="12">
        <f>D31*B3</f>
        <v>32781.81</v>
      </c>
      <c r="F31" s="29"/>
      <c r="H31" s="3"/>
      <c r="I31" s="3"/>
      <c r="J31" s="3"/>
    </row>
    <row r="32" spans="1:10" ht="12">
      <c r="A32" t="s">
        <v>1</v>
      </c>
      <c r="B32" s="3">
        <v>0</v>
      </c>
      <c r="C32" s="3">
        <v>0</v>
      </c>
      <c r="D32" s="3">
        <v>0</v>
      </c>
      <c r="E32" s="3">
        <v>0.25</v>
      </c>
      <c r="F32" s="29"/>
      <c r="H32" s="3"/>
      <c r="I32" s="3"/>
      <c r="J32" s="3"/>
    </row>
    <row r="33" spans="2:10" ht="12">
      <c r="B33" s="26">
        <f>B32*B31*(B$9/12)</f>
        <v>0</v>
      </c>
      <c r="C33" s="26">
        <f>C32*C31*(C$9/12)</f>
        <v>0</v>
      </c>
      <c r="D33" s="26">
        <f>D32*D31*(D$9/12)</f>
        <v>0</v>
      </c>
      <c r="E33" s="26">
        <f>E32*E31*(E$9/12)</f>
        <v>8195.4525</v>
      </c>
      <c r="F33" s="29"/>
      <c r="H33" s="3"/>
      <c r="I33" s="3"/>
      <c r="J33" s="3"/>
    </row>
    <row r="34" spans="2:10" ht="12">
      <c r="B34" s="26"/>
      <c r="C34" s="26"/>
      <c r="D34" s="26"/>
      <c r="E34" s="26"/>
      <c r="F34" s="29"/>
      <c r="H34" s="3"/>
      <c r="I34" s="3"/>
      <c r="J34" s="3"/>
    </row>
    <row r="35" spans="1:10" ht="12">
      <c r="A35" t="s">
        <v>84</v>
      </c>
      <c r="B35" s="26">
        <f>0.196*B33</f>
        <v>0</v>
      </c>
      <c r="C35" s="26">
        <f>0.196*C33</f>
        <v>0</v>
      </c>
      <c r="D35" s="26">
        <f>0.196*D33</f>
        <v>0</v>
      </c>
      <c r="E35" s="26">
        <f>0.196*E33</f>
        <v>1606.3086899999998</v>
      </c>
      <c r="F35" s="29"/>
      <c r="H35" s="3"/>
      <c r="I35" s="3"/>
      <c r="J35" s="3"/>
    </row>
    <row r="36" spans="1:10" ht="12">
      <c r="A36" s="2" t="s">
        <v>45</v>
      </c>
      <c r="B36" s="27">
        <f>B33+B35</f>
        <v>0</v>
      </c>
      <c r="C36" s="27">
        <f>C33+C35</f>
        <v>0</v>
      </c>
      <c r="D36" s="27">
        <f>D33+D35</f>
        <v>0</v>
      </c>
      <c r="E36" s="27">
        <f>E33+E35</f>
        <v>9801.76119</v>
      </c>
      <c r="F36" s="27">
        <f>SUM(B36:E36)</f>
        <v>9801.76119</v>
      </c>
      <c r="H36" s="3"/>
      <c r="I36" s="3"/>
      <c r="J36" s="3"/>
    </row>
    <row r="37" spans="2:6" ht="12">
      <c r="B37" s="12"/>
      <c r="C37" s="12"/>
      <c r="D37" s="12"/>
      <c r="E37" s="12"/>
      <c r="F37" s="12"/>
    </row>
    <row r="38" spans="1:6" ht="12">
      <c r="A38" t="s">
        <v>120</v>
      </c>
      <c r="B38" s="30">
        <v>3000</v>
      </c>
      <c r="C38" s="30">
        <v>0</v>
      </c>
      <c r="D38" s="30">
        <v>0</v>
      </c>
      <c r="E38" s="30">
        <v>0</v>
      </c>
      <c r="F38" s="12"/>
    </row>
    <row r="39" spans="1:6" ht="12">
      <c r="A39" t="s">
        <v>106</v>
      </c>
      <c r="B39" s="30">
        <v>2500</v>
      </c>
      <c r="C39" s="30">
        <v>0</v>
      </c>
      <c r="D39" s="30">
        <v>0</v>
      </c>
      <c r="E39" s="30">
        <v>0</v>
      </c>
      <c r="F39" s="12"/>
    </row>
    <row r="40" spans="1:10" ht="12">
      <c r="A40" s="2" t="s">
        <v>42</v>
      </c>
      <c r="B40" s="27">
        <f>B38+B39</f>
        <v>5500</v>
      </c>
      <c r="C40" s="27">
        <f>C38+C39</f>
        <v>0</v>
      </c>
      <c r="D40" s="27">
        <f>D38+D39</f>
        <v>0</v>
      </c>
      <c r="E40" s="27">
        <f>E38+E39</f>
        <v>0</v>
      </c>
      <c r="F40" s="27">
        <f>SUM(B40:E40)</f>
        <v>5500</v>
      </c>
      <c r="H40" s="3"/>
      <c r="I40" s="3"/>
      <c r="J40" s="3"/>
    </row>
    <row r="41" spans="1:6" ht="12">
      <c r="A41" s="14"/>
      <c r="B41" s="29"/>
      <c r="C41" s="29"/>
      <c r="D41" s="29"/>
      <c r="E41" s="29"/>
      <c r="F41" s="29"/>
    </row>
    <row r="42" spans="1:6" ht="12">
      <c r="A42" s="25" t="s">
        <v>118</v>
      </c>
      <c r="B42" s="29"/>
      <c r="C42" s="29"/>
      <c r="D42" s="29"/>
      <c r="E42" s="29"/>
      <c r="F42" s="29"/>
    </row>
    <row r="43" spans="1:6" ht="12">
      <c r="A43" s="25" t="s">
        <v>114</v>
      </c>
      <c r="B43" s="29"/>
      <c r="C43" s="29"/>
      <c r="D43" s="29"/>
      <c r="E43" s="29"/>
      <c r="F43" s="29"/>
    </row>
    <row r="44" spans="1:6" ht="12">
      <c r="A44" s="25" t="s">
        <v>115</v>
      </c>
      <c r="B44" s="29"/>
      <c r="C44" s="29"/>
      <c r="D44" s="29"/>
      <c r="E44" s="29"/>
      <c r="F44" s="29"/>
    </row>
    <row r="45" spans="1:6" ht="12">
      <c r="A45" s="25" t="s">
        <v>107</v>
      </c>
      <c r="B45" s="31">
        <v>2</v>
      </c>
      <c r="C45" s="31">
        <v>3</v>
      </c>
      <c r="D45" s="31">
        <v>3</v>
      </c>
      <c r="E45" s="31">
        <v>3</v>
      </c>
      <c r="F45" s="29"/>
    </row>
    <row r="46" spans="1:6" ht="12">
      <c r="A46" s="17" t="s">
        <v>109</v>
      </c>
      <c r="B46" s="12">
        <v>960</v>
      </c>
      <c r="C46" s="12">
        <f>B46*B3</f>
        <v>988.8000000000001</v>
      </c>
      <c r="D46" s="12">
        <f>C46*B3</f>
        <v>1018.464</v>
      </c>
      <c r="E46" s="12">
        <f>D46*B3</f>
        <v>1049.01792</v>
      </c>
      <c r="F46" s="12"/>
    </row>
    <row r="47" spans="1:6" ht="12">
      <c r="A47" s="17"/>
      <c r="B47" s="26">
        <f>B45*B46</f>
        <v>1920</v>
      </c>
      <c r="C47" s="26">
        <f>C45*C46</f>
        <v>2966.4</v>
      </c>
      <c r="D47" s="26">
        <f>D45*D46</f>
        <v>3055.3920000000003</v>
      </c>
      <c r="E47" s="26">
        <f>E45*E46</f>
        <v>3147.05376</v>
      </c>
      <c r="F47" s="12"/>
    </row>
    <row r="48" spans="1:6" ht="12">
      <c r="A48" s="17"/>
      <c r="B48" s="26"/>
      <c r="C48" s="26"/>
      <c r="D48" s="26"/>
      <c r="E48" s="26"/>
      <c r="F48" s="12"/>
    </row>
    <row r="49" spans="1:6" ht="12">
      <c r="A49" s="17" t="s">
        <v>108</v>
      </c>
      <c r="B49" s="12">
        <v>3</v>
      </c>
      <c r="C49" s="12">
        <v>2</v>
      </c>
      <c r="D49" s="12">
        <v>0</v>
      </c>
      <c r="E49" s="12">
        <v>0</v>
      </c>
      <c r="F49" s="12"/>
    </row>
    <row r="50" spans="1:6" ht="12">
      <c r="A50" s="17" t="s">
        <v>110</v>
      </c>
      <c r="B50" s="12">
        <v>1240</v>
      </c>
      <c r="C50" s="12">
        <f>B50*B3</f>
        <v>1277.2</v>
      </c>
      <c r="D50" s="12">
        <f>C50*B3</f>
        <v>1315.516</v>
      </c>
      <c r="E50" s="12">
        <f>D50*B3</f>
        <v>1354.9814800000001</v>
      </c>
      <c r="F50" s="12"/>
    </row>
    <row r="51" spans="1:6" ht="12">
      <c r="A51" s="17"/>
      <c r="B51" s="26">
        <f>B49*B50</f>
        <v>3720</v>
      </c>
      <c r="C51" s="26">
        <f>C49*C50</f>
        <v>2554.4</v>
      </c>
      <c r="D51" s="26">
        <f>D49*D50</f>
        <v>0</v>
      </c>
      <c r="E51" s="26">
        <f>E49*E50</f>
        <v>0</v>
      </c>
      <c r="F51" s="12"/>
    </row>
    <row r="52" spans="1:6" ht="12">
      <c r="A52" s="17"/>
      <c r="B52" s="26"/>
      <c r="C52" s="26"/>
      <c r="D52" s="26"/>
      <c r="E52" s="26"/>
      <c r="F52" s="12"/>
    </row>
    <row r="53" spans="1:6" ht="12">
      <c r="A53" s="17" t="s">
        <v>111</v>
      </c>
      <c r="B53" s="12">
        <v>0</v>
      </c>
      <c r="C53" s="12">
        <v>2</v>
      </c>
      <c r="D53" s="12">
        <v>0</v>
      </c>
      <c r="E53" s="12">
        <v>0</v>
      </c>
      <c r="F53" s="12"/>
    </row>
    <row r="54" spans="1:6" ht="12">
      <c r="A54" s="17" t="s">
        <v>112</v>
      </c>
      <c r="B54" s="12">
        <v>2140</v>
      </c>
      <c r="C54" s="12">
        <f>B54*B3</f>
        <v>2204.2000000000003</v>
      </c>
      <c r="D54" s="12">
        <f>C54*B3</f>
        <v>2270.3260000000005</v>
      </c>
      <c r="E54" s="12">
        <f>D54*B3</f>
        <v>2338.4357800000007</v>
      </c>
      <c r="F54" s="12"/>
    </row>
    <row r="55" spans="1:6" ht="12">
      <c r="A55" s="17"/>
      <c r="B55" s="26">
        <f>B53*B54</f>
        <v>0</v>
      </c>
      <c r="C55" s="26">
        <f>C53*C54</f>
        <v>4408.400000000001</v>
      </c>
      <c r="D55" s="26">
        <f>D53*D54</f>
        <v>0</v>
      </c>
      <c r="E55" s="26">
        <f>E53*E54</f>
        <v>0</v>
      </c>
      <c r="F55" s="12"/>
    </row>
    <row r="56" spans="1:6" ht="12">
      <c r="A56" s="17"/>
      <c r="B56" s="26"/>
      <c r="C56" s="26"/>
      <c r="D56" s="26"/>
      <c r="E56" s="26"/>
      <c r="F56" s="12"/>
    </row>
    <row r="57" spans="1:6" ht="12">
      <c r="A57" s="17" t="s">
        <v>113</v>
      </c>
      <c r="B57" s="26">
        <v>0</v>
      </c>
      <c r="C57" s="26">
        <v>0</v>
      </c>
      <c r="D57" s="26">
        <f>17900*B3*B3</f>
        <v>18990.11</v>
      </c>
      <c r="E57" s="26">
        <v>0</v>
      </c>
      <c r="F57" s="12"/>
    </row>
    <row r="58" spans="1:6" ht="12">
      <c r="A58" s="17"/>
      <c r="B58" s="26"/>
      <c r="C58" s="26"/>
      <c r="D58" s="26"/>
      <c r="E58" s="26"/>
      <c r="F58" s="12"/>
    </row>
    <row r="59" spans="1:6" ht="12">
      <c r="A59" s="17" t="s">
        <v>116</v>
      </c>
      <c r="B59" s="26">
        <v>0</v>
      </c>
      <c r="C59" s="26">
        <v>0</v>
      </c>
      <c r="D59" s="26">
        <f>400*B3*B3</f>
        <v>424.36</v>
      </c>
      <c r="E59" s="26">
        <v>0</v>
      </c>
      <c r="F59" s="12"/>
    </row>
    <row r="60" spans="1:6" ht="12">
      <c r="A60" s="17"/>
      <c r="B60" s="26"/>
      <c r="C60" s="26"/>
      <c r="D60" s="26"/>
      <c r="E60" s="26"/>
      <c r="F60" s="12"/>
    </row>
    <row r="61" spans="1:6" ht="12">
      <c r="A61" s="17" t="s">
        <v>117</v>
      </c>
      <c r="B61" s="26">
        <v>820</v>
      </c>
      <c r="C61" s="26">
        <f>B61*B3</f>
        <v>844.6</v>
      </c>
      <c r="D61" s="26">
        <f>C61*B3</f>
        <v>869.9380000000001</v>
      </c>
      <c r="E61" s="26">
        <f>D61*B3</f>
        <v>896.0361400000002</v>
      </c>
      <c r="F61" s="12"/>
    </row>
    <row r="62" spans="1:6" ht="12">
      <c r="A62" s="17"/>
      <c r="B62" s="12"/>
      <c r="C62" s="12"/>
      <c r="D62" s="12"/>
      <c r="E62" s="12"/>
      <c r="F62" s="12"/>
    </row>
    <row r="63" spans="1:6" ht="12">
      <c r="A63" s="25" t="s">
        <v>11</v>
      </c>
      <c r="B63" s="12"/>
      <c r="C63" s="12"/>
      <c r="D63" s="12"/>
      <c r="E63" s="12"/>
      <c r="F63" s="12"/>
    </row>
    <row r="64" spans="1:6" ht="12">
      <c r="A64" s="25" t="s">
        <v>114</v>
      </c>
      <c r="B64" s="12"/>
      <c r="C64" s="12"/>
      <c r="D64" s="12"/>
      <c r="E64" s="12"/>
      <c r="F64" s="12"/>
    </row>
    <row r="65" spans="1:6" ht="12">
      <c r="A65" s="25" t="s">
        <v>115</v>
      </c>
      <c r="B65" s="12"/>
      <c r="C65" s="12"/>
      <c r="D65" s="12"/>
      <c r="E65" s="12"/>
      <c r="F65" s="12"/>
    </row>
    <row r="66" spans="1:6" ht="12">
      <c r="A66" s="25" t="s">
        <v>12</v>
      </c>
      <c r="B66" s="12">
        <v>1</v>
      </c>
      <c r="C66" s="12">
        <v>1</v>
      </c>
      <c r="D66" s="12">
        <v>1</v>
      </c>
      <c r="E66" s="12">
        <v>1</v>
      </c>
      <c r="F66" s="12"/>
    </row>
    <row r="67" spans="1:6" ht="12">
      <c r="A67" s="17" t="s">
        <v>109</v>
      </c>
      <c r="B67" s="12">
        <v>1160</v>
      </c>
      <c r="C67" s="12">
        <f>B67*B3</f>
        <v>1194.8</v>
      </c>
      <c r="D67" s="12">
        <f>C67*B3</f>
        <v>1230.644</v>
      </c>
      <c r="E67" s="12">
        <f>D67*B3</f>
        <v>1267.56332</v>
      </c>
      <c r="F67" s="12"/>
    </row>
    <row r="68" spans="1:6" ht="12">
      <c r="A68" s="17"/>
      <c r="B68" s="26">
        <f>B66*B67</f>
        <v>1160</v>
      </c>
      <c r="C68" s="26">
        <f>C66*C67</f>
        <v>1194.8</v>
      </c>
      <c r="D68" s="26">
        <f>D66*D67</f>
        <v>1230.644</v>
      </c>
      <c r="E68" s="26">
        <f>E66*E67</f>
        <v>1267.56332</v>
      </c>
      <c r="F68" s="12"/>
    </row>
    <row r="69" spans="1:6" ht="12">
      <c r="A69" s="17"/>
      <c r="B69" s="26"/>
      <c r="C69" s="26"/>
      <c r="D69" s="26"/>
      <c r="E69" s="26"/>
      <c r="F69" s="12"/>
    </row>
    <row r="70" spans="1:6" ht="12">
      <c r="A70" s="17" t="s">
        <v>14</v>
      </c>
      <c r="B70" s="12">
        <v>0</v>
      </c>
      <c r="C70" s="12">
        <v>0</v>
      </c>
      <c r="D70" s="12">
        <v>2</v>
      </c>
      <c r="E70" s="12">
        <v>2</v>
      </c>
      <c r="F70" s="12"/>
    </row>
    <row r="71" spans="1:6" ht="12">
      <c r="A71" s="17" t="s">
        <v>13</v>
      </c>
      <c r="B71" s="12">
        <v>1720</v>
      </c>
      <c r="C71" s="12">
        <f>B71*B3</f>
        <v>1771.6000000000001</v>
      </c>
      <c r="D71" s="12">
        <f>C71*B3</f>
        <v>1824.7480000000003</v>
      </c>
      <c r="E71" s="12">
        <f>D71*B3</f>
        <v>1879.4904400000003</v>
      </c>
      <c r="F71" s="12"/>
    </row>
    <row r="72" spans="1:6" ht="12">
      <c r="A72" s="17"/>
      <c r="B72" s="26">
        <f>B70*B71</f>
        <v>0</v>
      </c>
      <c r="C72" s="26">
        <f>C70*C71</f>
        <v>0</v>
      </c>
      <c r="D72" s="26">
        <f>D70*D71</f>
        <v>3649.4960000000005</v>
      </c>
      <c r="E72" s="26">
        <f>E70*E71</f>
        <v>3758.9808800000005</v>
      </c>
      <c r="F72" s="12"/>
    </row>
    <row r="73" spans="1:6" ht="12">
      <c r="A73" s="17"/>
      <c r="B73" s="26"/>
      <c r="C73" s="26"/>
      <c r="D73" s="26"/>
      <c r="E73" s="26"/>
      <c r="F73" s="12"/>
    </row>
    <row r="74" spans="1:6" ht="12">
      <c r="A74" s="17" t="s">
        <v>15</v>
      </c>
      <c r="B74" s="26">
        <v>0</v>
      </c>
      <c r="C74" s="26">
        <f>1720*B3</f>
        <v>1771.6000000000001</v>
      </c>
      <c r="D74" s="26">
        <v>0</v>
      </c>
      <c r="E74" s="26">
        <v>0</v>
      </c>
      <c r="F74" s="12"/>
    </row>
    <row r="75" spans="1:6" ht="12">
      <c r="A75" s="17"/>
      <c r="B75" s="12"/>
      <c r="C75" s="12"/>
      <c r="D75" s="12"/>
      <c r="E75" s="12"/>
      <c r="F75" s="12"/>
    </row>
    <row r="76" spans="1:6" ht="12">
      <c r="A76" s="25" t="s">
        <v>18</v>
      </c>
      <c r="B76" s="12"/>
      <c r="C76" s="12"/>
      <c r="D76" s="12"/>
      <c r="E76" s="12"/>
      <c r="F76" s="12"/>
    </row>
    <row r="77" spans="1:6" ht="12">
      <c r="A77" s="25" t="s">
        <v>9</v>
      </c>
      <c r="B77" s="12"/>
      <c r="C77" s="12"/>
      <c r="D77" s="12"/>
      <c r="E77" s="12"/>
      <c r="F77" s="12"/>
    </row>
    <row r="78" spans="1:6" ht="12">
      <c r="A78" s="25" t="s">
        <v>19</v>
      </c>
      <c r="B78" s="12"/>
      <c r="C78" s="12"/>
      <c r="D78" s="12"/>
      <c r="E78" s="12"/>
      <c r="F78" s="12"/>
    </row>
    <row r="79" spans="1:6" ht="12">
      <c r="A79" s="17" t="s">
        <v>16</v>
      </c>
      <c r="B79" s="12">
        <v>1</v>
      </c>
      <c r="C79" s="12">
        <v>0</v>
      </c>
      <c r="D79" s="12">
        <v>0</v>
      </c>
      <c r="E79" s="12">
        <v>0</v>
      </c>
      <c r="F79" s="12"/>
    </row>
    <row r="80" spans="1:6" ht="12">
      <c r="A80" s="17" t="s">
        <v>17</v>
      </c>
      <c r="B80" s="12">
        <v>3050</v>
      </c>
      <c r="C80" s="12">
        <f>B80*B3</f>
        <v>3141.5</v>
      </c>
      <c r="D80" s="12">
        <f>C80*B3</f>
        <v>3235.745</v>
      </c>
      <c r="E80" s="12">
        <f>D80*B3</f>
        <v>3332.81735</v>
      </c>
      <c r="F80" s="12"/>
    </row>
    <row r="81" spans="1:6" ht="12">
      <c r="A81" s="17"/>
      <c r="B81" s="26">
        <f>B79*B80</f>
        <v>3050</v>
      </c>
      <c r="C81" s="26">
        <f>C79*C80</f>
        <v>0</v>
      </c>
      <c r="D81" s="26">
        <f>D79*D80</f>
        <v>0</v>
      </c>
      <c r="E81" s="26">
        <f>E79*E80</f>
        <v>0</v>
      </c>
      <c r="F81" s="12"/>
    </row>
    <row r="82" spans="1:10" ht="12">
      <c r="A82" s="2" t="s">
        <v>43</v>
      </c>
      <c r="B82" s="27">
        <f>B47+B51+B55+B57+B59+B61+B68+B72+B74+B81</f>
        <v>10670</v>
      </c>
      <c r="C82" s="27">
        <f>C47+C51+C55+C57+C59+C61+C68+C72+C74+C81</f>
        <v>13740.2</v>
      </c>
      <c r="D82" s="27">
        <f>D47+D51+D55+D57+D59+D61+D68+D72+D74+D81</f>
        <v>28219.940000000002</v>
      </c>
      <c r="E82" s="27">
        <f>E47+E51+E55+E57+E59+E61+E68+E72+E74+E81</f>
        <v>9069.634100000001</v>
      </c>
      <c r="F82" s="27">
        <f>SUM(B82:E82)</f>
        <v>61699.7741</v>
      </c>
      <c r="H82" s="3"/>
      <c r="I82" s="3"/>
      <c r="J82" s="3"/>
    </row>
    <row r="83" spans="1:6" ht="12">
      <c r="A83" s="17"/>
      <c r="B83" s="12"/>
      <c r="C83" s="12"/>
      <c r="D83" s="12"/>
      <c r="E83" s="12"/>
      <c r="F83" s="12"/>
    </row>
    <row r="84" spans="1:6" ht="12">
      <c r="A84" s="17" t="s">
        <v>20</v>
      </c>
      <c r="B84" s="26">
        <v>0</v>
      </c>
      <c r="C84" s="26">
        <v>0</v>
      </c>
      <c r="D84" s="26">
        <v>2000</v>
      </c>
      <c r="E84" s="26">
        <v>0</v>
      </c>
      <c r="F84" s="12"/>
    </row>
    <row r="85" spans="1:6" ht="12">
      <c r="A85" s="17"/>
      <c r="B85" s="26"/>
      <c r="C85" s="26"/>
      <c r="D85" s="26"/>
      <c r="E85" s="26"/>
      <c r="F85" s="12"/>
    </row>
    <row r="86" spans="1:6" ht="12">
      <c r="A86" s="17" t="s">
        <v>21</v>
      </c>
      <c r="B86" s="26">
        <v>0</v>
      </c>
      <c r="C86" s="26">
        <f>1000*B3</f>
        <v>1030</v>
      </c>
      <c r="D86" s="26">
        <f>2*C86*B3</f>
        <v>2121.8</v>
      </c>
      <c r="E86" s="26">
        <f>D86*B3</f>
        <v>2185.454</v>
      </c>
      <c r="F86" s="12"/>
    </row>
    <row r="87" spans="1:6" ht="12">
      <c r="A87" s="17"/>
      <c r="B87" s="26"/>
      <c r="C87" s="26"/>
      <c r="D87" s="26"/>
      <c r="E87" s="26"/>
      <c r="F87" s="12"/>
    </row>
    <row r="88" spans="1:6" ht="12">
      <c r="A88" s="17" t="s">
        <v>22</v>
      </c>
      <c r="B88" s="12">
        <v>0</v>
      </c>
      <c r="C88" s="12">
        <v>0</v>
      </c>
      <c r="D88" s="12">
        <v>2</v>
      </c>
      <c r="E88" s="12">
        <v>2</v>
      </c>
      <c r="F88" s="12"/>
    </row>
    <row r="89" spans="1:6" ht="12">
      <c r="A89" s="17" t="s">
        <v>23</v>
      </c>
      <c r="B89" s="12">
        <v>1020</v>
      </c>
      <c r="C89" s="12">
        <f>B89*B3</f>
        <v>1050.6000000000001</v>
      </c>
      <c r="D89" s="12">
        <f>C89*B3</f>
        <v>1082.1180000000002</v>
      </c>
      <c r="E89" s="12">
        <f>D89*B3</f>
        <v>1114.5815400000001</v>
      </c>
      <c r="F89" s="12"/>
    </row>
    <row r="90" spans="1:6" ht="12">
      <c r="A90" s="21"/>
      <c r="B90" s="26">
        <f>B88*B89</f>
        <v>0</v>
      </c>
      <c r="C90" s="26">
        <f>C88*C89</f>
        <v>0</v>
      </c>
      <c r="D90" s="26">
        <f>D88*D89</f>
        <v>2164.2360000000003</v>
      </c>
      <c r="E90" s="26">
        <f>E88*E89</f>
        <v>2229.1630800000003</v>
      </c>
      <c r="F90" s="12"/>
    </row>
    <row r="91" spans="1:10" ht="12">
      <c r="A91" s="2" t="s">
        <v>24</v>
      </c>
      <c r="B91" s="27">
        <f>B84+B86+B90</f>
        <v>0</v>
      </c>
      <c r="C91" s="27">
        <f>C84+C86+C90</f>
        <v>1030</v>
      </c>
      <c r="D91" s="27">
        <f>D84+D86+D90</f>
        <v>6286.036</v>
      </c>
      <c r="E91" s="27">
        <f>E84+E86+E90</f>
        <v>4414.61708</v>
      </c>
      <c r="F91" s="27">
        <f>SUM(B91:E91)</f>
        <v>11730.65308</v>
      </c>
      <c r="H91" s="3"/>
      <c r="I91" s="3"/>
      <c r="J91" s="3"/>
    </row>
    <row r="92" spans="1:6" ht="12">
      <c r="A92" s="14"/>
      <c r="B92" s="29"/>
      <c r="C92" s="29"/>
      <c r="D92" s="29"/>
      <c r="E92" s="29"/>
      <c r="F92" s="29"/>
    </row>
    <row r="93" spans="1:6" ht="12">
      <c r="A93" s="25" t="s">
        <v>119</v>
      </c>
      <c r="B93" s="31">
        <v>300</v>
      </c>
      <c r="C93" s="31">
        <f>B93*B3</f>
        <v>309</v>
      </c>
      <c r="D93" s="31">
        <f>C93*B3</f>
        <v>318.27</v>
      </c>
      <c r="E93" s="31">
        <f>D93*B3</f>
        <v>327.8181</v>
      </c>
      <c r="F93" s="29"/>
    </row>
    <row r="94" spans="1:6" ht="12">
      <c r="A94" s="25" t="s">
        <v>25</v>
      </c>
      <c r="B94" s="31">
        <v>0</v>
      </c>
      <c r="C94" s="31">
        <v>0</v>
      </c>
      <c r="D94" s="31">
        <f>200*B3*B3</f>
        <v>212.18</v>
      </c>
      <c r="E94" s="31">
        <f>D94*B3</f>
        <v>218.5454</v>
      </c>
      <c r="F94" s="29"/>
    </row>
    <row r="95" spans="1:6" ht="12">
      <c r="A95" s="25" t="s">
        <v>26</v>
      </c>
      <c r="B95" s="31">
        <v>0</v>
      </c>
      <c r="C95" s="31">
        <v>0</v>
      </c>
      <c r="D95" s="31">
        <f>1500*B3*B3</f>
        <v>1591.3500000000001</v>
      </c>
      <c r="E95" s="31">
        <f>D95*B3</f>
        <v>1639.0905000000002</v>
      </c>
      <c r="F95" s="29"/>
    </row>
    <row r="96" spans="1:6" ht="12">
      <c r="A96" s="25" t="s">
        <v>10</v>
      </c>
      <c r="B96" s="31">
        <v>500</v>
      </c>
      <c r="C96" s="31">
        <f>B96*B3</f>
        <v>515</v>
      </c>
      <c r="D96" s="31">
        <f>C96*B3</f>
        <v>530.45</v>
      </c>
      <c r="E96" s="31">
        <f>D96*B3</f>
        <v>546.3635</v>
      </c>
      <c r="F96" s="29"/>
    </row>
    <row r="97" spans="1:10" ht="12">
      <c r="A97" s="2" t="s">
        <v>27</v>
      </c>
      <c r="B97" s="27">
        <f>SUM(B93:B96)</f>
        <v>800</v>
      </c>
      <c r="C97" s="27">
        <f>SUM(C93:C96)</f>
        <v>824</v>
      </c>
      <c r="D97" s="27">
        <f>SUM(D93:D96)</f>
        <v>2652.25</v>
      </c>
      <c r="E97" s="27">
        <f>SUM(E93:E96)</f>
        <v>2731.8175</v>
      </c>
      <c r="F97" s="27">
        <f>SUM(B97:E97)</f>
        <v>7008.0675</v>
      </c>
      <c r="H97" s="3"/>
      <c r="I97" s="3"/>
      <c r="J97" s="3"/>
    </row>
    <row r="98" spans="1:6" ht="12">
      <c r="A98" s="14"/>
      <c r="B98" s="12"/>
      <c r="C98" s="12"/>
      <c r="D98" s="12"/>
      <c r="E98" s="12"/>
      <c r="F98" s="12"/>
    </row>
    <row r="99" spans="1:6" ht="12">
      <c r="A99" s="25" t="s">
        <v>28</v>
      </c>
      <c r="B99" s="12">
        <f>B97+B91+B82+B36+B29+B26+B22</f>
        <v>17590.42</v>
      </c>
      <c r="C99" s="12">
        <f>C97+C91+C82+C36+C29+C26+C22</f>
        <v>35078.54519999999</v>
      </c>
      <c r="D99" s="12">
        <f>D97+D91+D82+D36+D29+D26+D22</f>
        <v>77656.195098</v>
      </c>
      <c r="E99" s="12">
        <f>E97+E91+E82+E36+E29+E26+E22</f>
        <v>63810.03356494001</v>
      </c>
      <c r="F99" s="12">
        <f>SUM(B99:E99)</f>
        <v>194135.19386294</v>
      </c>
    </row>
    <row r="100" spans="1:6" ht="12">
      <c r="A100" s="25" t="s">
        <v>5</v>
      </c>
      <c r="B100" s="12"/>
      <c r="C100" s="12"/>
      <c r="D100" s="12"/>
      <c r="E100" s="12"/>
      <c r="F100" s="12"/>
    </row>
    <row r="101" spans="1:10" ht="12">
      <c r="A101" s="2" t="s">
        <v>29</v>
      </c>
      <c r="B101" s="27">
        <f>B99*0.515</f>
        <v>9059.066299999999</v>
      </c>
      <c r="C101" s="27">
        <f>C99*0.515</f>
        <v>18065.450778</v>
      </c>
      <c r="D101" s="27">
        <f>D99*0.515</f>
        <v>39992.94047547</v>
      </c>
      <c r="E101" s="27">
        <f>E99*0.515</f>
        <v>32862.1672859441</v>
      </c>
      <c r="F101" s="27">
        <f>SUM(B101:E101)</f>
        <v>99979.6248394141</v>
      </c>
      <c r="H101" s="3"/>
      <c r="I101" s="3"/>
      <c r="J101" s="3"/>
    </row>
    <row r="102" spans="1:6" ht="12">
      <c r="A102" s="14"/>
      <c r="B102" s="29"/>
      <c r="C102" s="29"/>
      <c r="D102" s="29"/>
      <c r="E102" s="29"/>
      <c r="F102" s="29"/>
    </row>
    <row r="103" spans="1:10" ht="12">
      <c r="A103" s="2" t="s">
        <v>30</v>
      </c>
      <c r="B103" s="27">
        <v>0</v>
      </c>
      <c r="C103" s="27">
        <f>B103</f>
        <v>0</v>
      </c>
      <c r="D103" s="27">
        <f>C103</f>
        <v>0</v>
      </c>
      <c r="E103" s="27">
        <f>D103</f>
        <v>0</v>
      </c>
      <c r="F103" s="27">
        <f>SUM(B103:E103)</f>
        <v>0</v>
      </c>
      <c r="H103" s="3"/>
      <c r="I103" s="3"/>
      <c r="J103" s="3"/>
    </row>
    <row r="104" spans="1:6" ht="12">
      <c r="A104" s="14"/>
      <c r="B104" s="29"/>
      <c r="C104" s="29"/>
      <c r="D104" s="29"/>
      <c r="E104" s="29"/>
      <c r="F104" s="29"/>
    </row>
    <row r="105" spans="1:10" ht="12">
      <c r="A105" s="2" t="s">
        <v>57</v>
      </c>
      <c r="B105" s="27">
        <f>B97+B91+B82+B40+B36+B29+B26+B22+B101+B103</f>
        <v>32149.486299999997</v>
      </c>
      <c r="C105" s="27">
        <f>C97+C91+C82+C40+C36+C29+C26+C22+C101+C103</f>
        <v>53143.99597799999</v>
      </c>
      <c r="D105" s="27">
        <f>D97+D91+D82+D40+D36+D29+D26+D22+D101+D103</f>
        <v>117649.13557347</v>
      </c>
      <c r="E105" s="27">
        <f>E97+E91+E82+E40+E36+E29+E26+E22+E101+E103</f>
        <v>96672.20085088411</v>
      </c>
      <c r="F105" s="27">
        <f>SUM(B105:E105)</f>
        <v>299614.8187023541</v>
      </c>
      <c r="H105" s="3"/>
      <c r="I105" s="3"/>
      <c r="J105" s="3"/>
    </row>
    <row r="106" spans="1:6" ht="12">
      <c r="A106" s="14"/>
      <c r="B106" s="12"/>
      <c r="C106" s="12"/>
      <c r="D106" s="12"/>
      <c r="E106" s="12"/>
      <c r="F106" s="12"/>
    </row>
    <row r="107" spans="1:6" ht="12">
      <c r="A107" s="14"/>
      <c r="B107" s="12"/>
      <c r="C107" s="12"/>
      <c r="D107" s="12"/>
      <c r="E107" s="12"/>
      <c r="F107" s="12"/>
    </row>
    <row r="108" spans="1:6" ht="12">
      <c r="A108" s="25" t="s">
        <v>31</v>
      </c>
      <c r="B108" s="12">
        <f>(B97+B82+B40+B36+B29+B26+B22+B101+B103)*0.05+B91</f>
        <v>1607.474315</v>
      </c>
      <c r="C108" s="12">
        <f>(C97+C82+C40+C36+C29+C26+C22+C101+C103)*0.05+C91</f>
        <v>3635.6997988999997</v>
      </c>
      <c r="D108" s="12">
        <f>(D97+D82+D40+D36+D29+D26+D22+D101+D103)*0.05+D91</f>
        <v>11854.190978673501</v>
      </c>
      <c r="E108" s="12">
        <f>(E97+E82+E40+E36+E29+E26+E22+E101+E103)*0.05+E91</f>
        <v>9027.496268544206</v>
      </c>
      <c r="F108" s="26">
        <f>SUM(B108:E108)</f>
        <v>26124.861361117706</v>
      </c>
    </row>
    <row r="109" spans="1:6" ht="12">
      <c r="A109" s="25" t="s">
        <v>32</v>
      </c>
      <c r="B109" s="12"/>
      <c r="C109" s="12"/>
      <c r="D109" s="12"/>
      <c r="E109" s="12"/>
      <c r="F109" s="26"/>
    </row>
    <row r="110" spans="1:6" ht="12">
      <c r="A110" s="25" t="s">
        <v>33</v>
      </c>
      <c r="B110" s="12">
        <f>B105-B108</f>
        <v>30542.011984999997</v>
      </c>
      <c r="C110" s="12">
        <f>C105-C108</f>
        <v>49508.29617909999</v>
      </c>
      <c r="D110" s="12">
        <f>(D105-D108)*0.5</f>
        <v>52897.47229739825</v>
      </c>
      <c r="E110" s="12">
        <v>0</v>
      </c>
      <c r="F110" s="26">
        <f>SUM(B110:E110)</f>
        <v>132947.78046149825</v>
      </c>
    </row>
    <row r="111" spans="1:6" ht="12">
      <c r="A111" s="25" t="s">
        <v>34</v>
      </c>
      <c r="B111" s="12"/>
      <c r="C111" s="12"/>
      <c r="D111" s="12"/>
      <c r="E111" s="12"/>
      <c r="F111" s="26"/>
    </row>
    <row r="112" spans="1:6" ht="12">
      <c r="A112" s="25" t="s">
        <v>35</v>
      </c>
      <c r="B112" s="12">
        <v>0</v>
      </c>
      <c r="C112" s="12">
        <v>0</v>
      </c>
      <c r="D112" s="12">
        <f>(D105-D108)*0.5</f>
        <v>52897.47229739825</v>
      </c>
      <c r="E112" s="12">
        <f>E105-E108</f>
        <v>87644.70458233991</v>
      </c>
      <c r="F112" s="26">
        <f>SUM(B112:E112)</f>
        <v>140542.17687973817</v>
      </c>
    </row>
    <row r="113" ht="12">
      <c r="A113" s="14"/>
    </row>
    <row r="114" ht="12">
      <c r="A114" s="14"/>
    </row>
    <row r="115" spans="2:6" ht="12">
      <c r="B115" s="15"/>
      <c r="C115" s="15"/>
      <c r="D115" s="15"/>
      <c r="E115" s="15"/>
      <c r="F115" s="15"/>
    </row>
    <row r="116" spans="2:5" ht="12">
      <c r="B116"/>
      <c r="C116"/>
      <c r="D116"/>
      <c r="E116"/>
    </row>
    <row r="117" spans="2:5" ht="12">
      <c r="B117"/>
      <c r="C117"/>
      <c r="D117"/>
      <c r="E117"/>
    </row>
    <row r="118" spans="2:5" ht="12">
      <c r="B118"/>
      <c r="C118"/>
      <c r="D118"/>
      <c r="E118"/>
    </row>
    <row r="119" spans="2:5" ht="12">
      <c r="B119"/>
      <c r="C119"/>
      <c r="D119"/>
      <c r="E119"/>
    </row>
    <row r="120" spans="2:5" ht="12">
      <c r="B120"/>
      <c r="C120"/>
      <c r="D120"/>
      <c r="E120"/>
    </row>
    <row r="121" spans="2:5" ht="12">
      <c r="B121"/>
      <c r="C121"/>
      <c r="D121"/>
      <c r="E121"/>
    </row>
    <row r="122" spans="2:5" ht="12">
      <c r="B122"/>
      <c r="C122"/>
      <c r="D122"/>
      <c r="E122"/>
    </row>
    <row r="123" spans="2:5" ht="12">
      <c r="B123"/>
      <c r="C123"/>
      <c r="D123"/>
      <c r="E123"/>
    </row>
    <row r="124" spans="2:5" ht="12">
      <c r="B124"/>
      <c r="C124"/>
      <c r="D124"/>
      <c r="E124"/>
    </row>
    <row r="125" spans="2:5" ht="12">
      <c r="B125"/>
      <c r="C125"/>
      <c r="D125"/>
      <c r="E125"/>
    </row>
    <row r="126" spans="2:5" ht="12">
      <c r="B126"/>
      <c r="C126"/>
      <c r="D126"/>
      <c r="E126"/>
    </row>
    <row r="127" spans="2:5" ht="12">
      <c r="B127"/>
      <c r="C127"/>
      <c r="D127"/>
      <c r="E127"/>
    </row>
    <row r="128" spans="2:5" ht="12">
      <c r="B128"/>
      <c r="C128"/>
      <c r="D128"/>
      <c r="E128"/>
    </row>
    <row r="129" spans="2:5" ht="12">
      <c r="B129"/>
      <c r="C129"/>
      <c r="D129"/>
      <c r="E129"/>
    </row>
    <row r="130" spans="2:5" ht="12">
      <c r="B130"/>
      <c r="C130"/>
      <c r="D130"/>
      <c r="E130"/>
    </row>
    <row r="131" spans="2:5" ht="25.5" customHeight="1">
      <c r="B131"/>
      <c r="C131"/>
      <c r="D131"/>
      <c r="E131"/>
    </row>
    <row r="132" spans="2:5" ht="12">
      <c r="B132"/>
      <c r="C132"/>
      <c r="D132"/>
      <c r="E132"/>
    </row>
    <row r="133" spans="2:5" ht="12">
      <c r="B133"/>
      <c r="C133"/>
      <c r="D133"/>
      <c r="E133"/>
    </row>
    <row r="134" spans="2:5" ht="12">
      <c r="B134"/>
      <c r="C134"/>
      <c r="D134"/>
      <c r="E134"/>
    </row>
    <row r="135" spans="2:5" ht="12">
      <c r="B135"/>
      <c r="C135"/>
      <c r="D135"/>
      <c r="E135"/>
    </row>
    <row r="136" spans="2:5" ht="12">
      <c r="B136"/>
      <c r="C136"/>
      <c r="D136"/>
      <c r="E136"/>
    </row>
    <row r="137" spans="2:5" ht="12">
      <c r="B137"/>
      <c r="C137"/>
      <c r="D137"/>
      <c r="E137"/>
    </row>
    <row r="138" spans="2:5" ht="12">
      <c r="B138"/>
      <c r="C138"/>
      <c r="D138"/>
      <c r="E138"/>
    </row>
    <row r="139" spans="2:5" ht="12">
      <c r="B139"/>
      <c r="C139"/>
      <c r="D139"/>
      <c r="E139"/>
    </row>
    <row r="140" spans="2:5" ht="12">
      <c r="B140"/>
      <c r="C140"/>
      <c r="D140"/>
      <c r="E140"/>
    </row>
    <row r="141" spans="2:5" ht="12">
      <c r="B141"/>
      <c r="C141"/>
      <c r="D141"/>
      <c r="E141"/>
    </row>
    <row r="142" spans="2:5" ht="12">
      <c r="B142"/>
      <c r="C142"/>
      <c r="D142"/>
      <c r="E142"/>
    </row>
    <row r="143" spans="2:5" ht="12">
      <c r="B143"/>
      <c r="C143"/>
      <c r="D143"/>
      <c r="E143"/>
    </row>
    <row r="144" spans="2:5" ht="12">
      <c r="B144"/>
      <c r="C144"/>
      <c r="D144"/>
      <c r="E144"/>
    </row>
    <row r="145" spans="2:5" ht="12">
      <c r="B145"/>
      <c r="C145"/>
      <c r="D145"/>
      <c r="E145"/>
    </row>
    <row r="146" spans="2:5" ht="12">
      <c r="B146"/>
      <c r="C146"/>
      <c r="D146"/>
      <c r="E146"/>
    </row>
    <row r="147" spans="2:5" ht="12">
      <c r="B147"/>
      <c r="C147"/>
      <c r="D147"/>
      <c r="E147"/>
    </row>
    <row r="148" spans="2:5" ht="12">
      <c r="B148"/>
      <c r="C148"/>
      <c r="D148"/>
      <c r="E148"/>
    </row>
    <row r="149" spans="2:5" ht="12">
      <c r="B149"/>
      <c r="C149"/>
      <c r="D149"/>
      <c r="E149"/>
    </row>
    <row r="150" spans="2:5" ht="12">
      <c r="B150"/>
      <c r="C150"/>
      <c r="D150"/>
      <c r="E150"/>
    </row>
    <row r="151" spans="2:5" ht="12">
      <c r="B151"/>
      <c r="C151"/>
      <c r="D151"/>
      <c r="E151"/>
    </row>
    <row r="152" spans="2:5" ht="12">
      <c r="B152"/>
      <c r="C152"/>
      <c r="D152"/>
      <c r="E152"/>
    </row>
    <row r="153" spans="2:5" ht="12">
      <c r="B153"/>
      <c r="C153"/>
      <c r="D153"/>
      <c r="E153"/>
    </row>
  </sheetData>
  <printOptions horizontalCentered="1" verticalCentered="1"/>
  <pageMargins left="0.75" right="0.75" top="1" bottom="1" header="0.5" footer="0.5"/>
  <pageSetup firstPageNumber="26" useFirstPageNumber="1" horizontalDpi="300" verticalDpi="300" orientation="portrait" scale="85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4">
      <selection activeCell="B10" sqref="B10"/>
    </sheetView>
  </sheetViews>
  <sheetFormatPr defaultColWidth="11.421875" defaultRowHeight="12.75"/>
  <cols>
    <col min="1" max="1" width="41.28125" style="0" customWidth="1"/>
    <col min="2" max="16384" width="8.8515625" style="0" customWidth="1"/>
  </cols>
  <sheetData>
    <row r="1" spans="1:5" ht="12">
      <c r="A1" s="1" t="s">
        <v>36</v>
      </c>
      <c r="B1" s="4" t="s">
        <v>85</v>
      </c>
      <c r="C1" s="4"/>
      <c r="D1" s="4"/>
      <c r="E1" s="4"/>
    </row>
    <row r="2" spans="1:5" ht="12">
      <c r="A2" s="1"/>
      <c r="B2" s="4"/>
      <c r="C2" s="4"/>
      <c r="D2" s="4"/>
      <c r="E2" s="4"/>
    </row>
    <row r="3" spans="1:5" ht="12">
      <c r="A3" s="1" t="s">
        <v>74</v>
      </c>
      <c r="B3" s="4"/>
      <c r="C3" s="4"/>
      <c r="D3" s="4"/>
      <c r="E3" s="4" t="s">
        <v>98</v>
      </c>
    </row>
    <row r="4" spans="2:6" ht="12">
      <c r="B4" s="19">
        <v>1</v>
      </c>
      <c r="C4" s="19">
        <v>1.028</v>
      </c>
      <c r="D4" s="19">
        <v>1.057</v>
      </c>
      <c r="E4" s="19">
        <v>1.086</v>
      </c>
      <c r="F4" t="s">
        <v>99</v>
      </c>
    </row>
    <row r="5" spans="2:10" ht="12">
      <c r="B5" s="18" t="s">
        <v>78</v>
      </c>
      <c r="C5" s="3" t="s">
        <v>64</v>
      </c>
      <c r="D5" s="3" t="s">
        <v>65</v>
      </c>
      <c r="E5" s="3" t="s">
        <v>82</v>
      </c>
      <c r="F5" s="1" t="s">
        <v>57</v>
      </c>
      <c r="G5" t="s">
        <v>76</v>
      </c>
      <c r="H5" t="s">
        <v>87</v>
      </c>
      <c r="I5" t="s">
        <v>88</v>
      </c>
      <c r="J5" t="s">
        <v>89</v>
      </c>
    </row>
    <row r="6" spans="2:10" ht="12">
      <c r="B6" s="3" t="s">
        <v>79</v>
      </c>
      <c r="C6" s="3" t="s">
        <v>66</v>
      </c>
      <c r="D6" s="3" t="s">
        <v>80</v>
      </c>
      <c r="E6" s="3" t="s">
        <v>81</v>
      </c>
      <c r="H6" t="s">
        <v>90</v>
      </c>
      <c r="I6" t="s">
        <v>91</v>
      </c>
      <c r="J6" t="s">
        <v>92</v>
      </c>
    </row>
    <row r="7" spans="2:5" ht="12">
      <c r="B7" s="3" t="s">
        <v>67</v>
      </c>
      <c r="C7" s="3" t="s">
        <v>68</v>
      </c>
      <c r="D7" s="3" t="s">
        <v>38</v>
      </c>
      <c r="E7" s="3" t="s">
        <v>77</v>
      </c>
    </row>
    <row r="8" spans="1:10" ht="12">
      <c r="A8" t="s">
        <v>46</v>
      </c>
      <c r="B8" s="3">
        <v>11</v>
      </c>
      <c r="C8" s="3">
        <v>12</v>
      </c>
      <c r="D8" s="3">
        <v>12</v>
      </c>
      <c r="E8" s="3">
        <v>12</v>
      </c>
      <c r="H8">
        <v>3</v>
      </c>
      <c r="I8">
        <v>6</v>
      </c>
      <c r="J8">
        <v>38</v>
      </c>
    </row>
    <row r="9" spans="2:5" ht="12">
      <c r="B9" s="3"/>
      <c r="C9" s="3"/>
      <c r="D9" s="3"/>
      <c r="E9" s="3"/>
    </row>
    <row r="10" spans="1:5" ht="12">
      <c r="A10" t="s">
        <v>47</v>
      </c>
      <c r="B10" s="3" t="e">
        <f>(Sheet1!#REF!)</f>
        <v>#REF!</v>
      </c>
      <c r="C10" s="3" t="e">
        <f>(Sheet1!#REF!/1.028)</f>
        <v>#REF!</v>
      </c>
      <c r="D10" s="3" t="e">
        <f>(Sheet1!#REF!/1.057)</f>
        <v>#REF!</v>
      </c>
      <c r="E10" s="3" t="e">
        <f>(Sheet1!#REF!/1.086)</f>
        <v>#REF!</v>
      </c>
    </row>
    <row r="11" spans="1:5" ht="12">
      <c r="A11" t="s">
        <v>48</v>
      </c>
      <c r="B11" s="3">
        <v>0.15</v>
      </c>
      <c r="C11" s="3">
        <v>0.2</v>
      </c>
      <c r="D11" s="3">
        <v>0.25</v>
      </c>
      <c r="E11" s="3">
        <v>0.3</v>
      </c>
    </row>
    <row r="12" spans="2:5" ht="12">
      <c r="B12" s="4" t="e">
        <f>B11*B10*(B$8/12)</f>
        <v>#REF!</v>
      </c>
      <c r="C12" s="4" t="e">
        <f>C11*C10*(C$8/12)</f>
        <v>#REF!</v>
      </c>
      <c r="D12" s="4" t="e">
        <f>D11*D10*(D$8/12)</f>
        <v>#REF!</v>
      </c>
      <c r="E12" s="4" t="e">
        <f>E11*E10*(E$8/12)</f>
        <v>#REF!</v>
      </c>
    </row>
    <row r="13" spans="1:5" ht="12">
      <c r="A13" t="s">
        <v>49</v>
      </c>
      <c r="B13" s="3">
        <f>(Sheet1!B28)</f>
        <v>500</v>
      </c>
      <c r="C13" s="3">
        <f>(Sheet1!C28/1.028)</f>
        <v>500.9727626459144</v>
      </c>
      <c r="D13" s="3">
        <f>(Sheet1!D28/1.057)</f>
        <v>501.8448438978241</v>
      </c>
      <c r="E13" s="3">
        <f>(Sheet1!E28/1.086)</f>
        <v>503.09714548802947</v>
      </c>
    </row>
    <row r="14" spans="1:5" ht="12">
      <c r="A14" t="s">
        <v>50</v>
      </c>
      <c r="B14" s="3">
        <v>0.04</v>
      </c>
      <c r="C14" s="3">
        <v>0.05</v>
      </c>
      <c r="D14" s="3">
        <v>0.06</v>
      </c>
      <c r="E14" s="3">
        <v>0.06</v>
      </c>
    </row>
    <row r="15" spans="2:5" ht="12">
      <c r="B15" s="4">
        <f>B14*B13*(B$8/12)</f>
        <v>18.333333333333332</v>
      </c>
      <c r="C15" s="4">
        <f>C14*C13*(C$8/12)</f>
        <v>25.04863813229572</v>
      </c>
      <c r="D15" s="4">
        <f>D14*D13*(D$8/12)</f>
        <v>30.110690633869446</v>
      </c>
      <c r="E15" s="4">
        <f>E14*E13*(E$8/12)</f>
        <v>30.185828729281766</v>
      </c>
    </row>
    <row r="16" spans="1:5" ht="12">
      <c r="A16" t="s">
        <v>72</v>
      </c>
      <c r="B16" s="3" t="e">
        <f>(Sheet1!#REF!)</f>
        <v>#REF!</v>
      </c>
      <c r="C16" s="3" t="e">
        <f>(Sheet1!#REF!/1.028)</f>
        <v>#REF!</v>
      </c>
      <c r="D16" s="3" t="e">
        <f>(Sheet1!#REF!/1.057)</f>
        <v>#REF!</v>
      </c>
      <c r="E16" s="3" t="e">
        <f>(Sheet1!#REF!/1.086)</f>
        <v>#REF!</v>
      </c>
    </row>
    <row r="17" spans="1:5" ht="12">
      <c r="A17" t="s">
        <v>97</v>
      </c>
      <c r="B17" s="4"/>
      <c r="C17" s="4"/>
      <c r="D17" s="4"/>
      <c r="E17" s="4"/>
    </row>
    <row r="18" spans="2:5" ht="12">
      <c r="B18" s="3"/>
      <c r="C18" s="3"/>
      <c r="D18" s="3"/>
      <c r="E18" s="3"/>
    </row>
    <row r="19" spans="1:5" ht="12">
      <c r="A19" t="s">
        <v>62</v>
      </c>
      <c r="B19" s="3">
        <f>(Sheet1!B38)</f>
        <v>3000</v>
      </c>
      <c r="C19" s="3">
        <f>(Sheet1!C38/1.028)</f>
        <v>0</v>
      </c>
      <c r="D19" s="3">
        <f>(Sheet1!D38/1.057)</f>
        <v>0</v>
      </c>
      <c r="E19" s="3">
        <f>(Sheet1!E38/1.086)</f>
        <v>0</v>
      </c>
    </row>
    <row r="20" spans="1:5" ht="12">
      <c r="A20" t="s">
        <v>63</v>
      </c>
      <c r="B20" s="10"/>
      <c r="C20" s="10">
        <v>0</v>
      </c>
      <c r="D20" s="10">
        <v>0.33</v>
      </c>
      <c r="E20" s="10">
        <v>0.33</v>
      </c>
    </row>
    <row r="21" spans="2:5" ht="12">
      <c r="B21" s="4">
        <f>B20*B19*(B$8/12)</f>
        <v>0</v>
      </c>
      <c r="C21" s="4">
        <f>C20*C19*(C$8/12)</f>
        <v>0</v>
      </c>
      <c r="D21" s="4">
        <f>D20*D19*(D$8/12)</f>
        <v>0</v>
      </c>
      <c r="E21" s="4">
        <f>E20*E19*(E$8/12)</f>
        <v>0</v>
      </c>
    </row>
    <row r="22" spans="1:10" ht="12">
      <c r="A22" s="2" t="s">
        <v>39</v>
      </c>
      <c r="B22" s="5" t="e">
        <f>B12+B15+B16+B21</f>
        <v>#REF!</v>
      </c>
      <c r="C22" s="5" t="e">
        <f>C12+C15+C16+C21</f>
        <v>#REF!</v>
      </c>
      <c r="D22" s="5" t="e">
        <f>D12+D15+D16+D21</f>
        <v>#REF!</v>
      </c>
      <c r="E22" s="5" t="e">
        <f>E12+E15+E16+E21</f>
        <v>#REF!</v>
      </c>
      <c r="F22" s="5" t="e">
        <f>SUM(B22:E22)</f>
        <v>#REF!</v>
      </c>
      <c r="G22" t="e">
        <f>F22*0.05</f>
        <v>#REF!</v>
      </c>
      <c r="H22" t="e">
        <f>(H$8/B$8)*B22</f>
        <v>#REF!</v>
      </c>
      <c r="I22" t="e">
        <f>(I$8/B$8)*B22</f>
        <v>#REF!</v>
      </c>
      <c r="J22" t="e">
        <f>((J$8-36)/11)*B22+C22+D22+E22</f>
        <v>#REF!</v>
      </c>
    </row>
    <row r="23" spans="1:5" ht="12">
      <c r="A23" s="17" t="s">
        <v>96</v>
      </c>
      <c r="B23" s="3" t="e">
        <f>0.04*B16</f>
        <v>#REF!</v>
      </c>
      <c r="C23" s="3" t="e">
        <f>0.04*C16</f>
        <v>#REF!</v>
      </c>
      <c r="D23" s="3" t="e">
        <f>0.04*D16</f>
        <v>#REF!</v>
      </c>
      <c r="E23" s="3" t="e">
        <f>0.04*E16</f>
        <v>#REF!</v>
      </c>
    </row>
    <row r="24" spans="1:5" ht="12">
      <c r="A24" t="s">
        <v>84</v>
      </c>
      <c r="B24" s="3" t="e">
        <f>0.196*(B12+B21)</f>
        <v>#REF!</v>
      </c>
      <c r="C24" s="3" t="e">
        <f>0.196*(C12+C21)</f>
        <v>#REF!</v>
      </c>
      <c r="D24" s="3" t="e">
        <f>0.196*(D12+D21)</f>
        <v>#REF!</v>
      </c>
      <c r="E24" s="3" t="e">
        <f>0.196*(E12+E21)</f>
        <v>#REF!</v>
      </c>
    </row>
    <row r="25" spans="1:5" ht="12">
      <c r="A25" t="s">
        <v>83</v>
      </c>
      <c r="B25" s="3">
        <f>0.201*B15</f>
        <v>3.685</v>
      </c>
      <c r="C25" s="3">
        <f>0.201*C15</f>
        <v>5.03477626459144</v>
      </c>
      <c r="D25" s="3">
        <f>0.201*D15</f>
        <v>6.052248817407759</v>
      </c>
      <c r="E25" s="3">
        <f>0.201*E15</f>
        <v>6.0673515745856355</v>
      </c>
    </row>
    <row r="26" spans="1:10" ht="12">
      <c r="A26" s="2" t="s">
        <v>40</v>
      </c>
      <c r="B26" s="5" t="e">
        <f>B24+B25+B23</f>
        <v>#REF!</v>
      </c>
      <c r="C26" s="5" t="e">
        <f>C24+C25+C23</f>
        <v>#REF!</v>
      </c>
      <c r="D26" s="5" t="e">
        <f>D24+D25+D23</f>
        <v>#REF!</v>
      </c>
      <c r="E26" s="5" t="e">
        <f>E24+E25+E23</f>
        <v>#REF!</v>
      </c>
      <c r="F26" s="5" t="e">
        <f>SUM(B26:E26)</f>
        <v>#REF!</v>
      </c>
      <c r="G26" t="e">
        <f>F26*0.05</f>
        <v>#REF!</v>
      </c>
      <c r="H26" t="e">
        <f>(H$8/B$8)*B26</f>
        <v>#REF!</v>
      </c>
      <c r="I26" t="e">
        <f>(I$8/B$8)*B26</f>
        <v>#REF!</v>
      </c>
      <c r="J26" t="e">
        <f>((J$8-36)/11)*B26+C26+D26+E26</f>
        <v>#REF!</v>
      </c>
    </row>
    <row r="27" spans="1:6" ht="12">
      <c r="A27" s="14"/>
      <c r="B27" s="15"/>
      <c r="C27" s="15"/>
      <c r="D27" s="15"/>
      <c r="E27" s="15"/>
      <c r="F27" s="15"/>
    </row>
    <row r="28" spans="1:5" ht="12">
      <c r="A28" t="s">
        <v>73</v>
      </c>
      <c r="B28" s="3" t="e">
        <f>(Sheet1!#REF!)</f>
        <v>#REF!</v>
      </c>
      <c r="C28" s="3" t="e">
        <f>(Sheet1!#REF!/1.028)</f>
        <v>#REF!</v>
      </c>
      <c r="D28" s="3" t="e">
        <f>(Sheet1!#REF!/1.057)</f>
        <v>#REF!</v>
      </c>
      <c r="E28" s="3" t="e">
        <f>(Sheet1!#REF!/1.086)</f>
        <v>#REF!</v>
      </c>
    </row>
    <row r="29" spans="1:5" ht="12">
      <c r="A29" t="s">
        <v>51</v>
      </c>
      <c r="B29" s="3" t="e">
        <f>(Sheet1!#REF!)</f>
        <v>#REF!</v>
      </c>
      <c r="C29" s="3" t="e">
        <f>(Sheet1!#REF!/1.028)</f>
        <v>#REF!</v>
      </c>
      <c r="D29" s="3" t="e">
        <f>(Sheet1!#REF!/1.057)</f>
        <v>#REF!</v>
      </c>
      <c r="E29" s="3" t="e">
        <f>(Sheet1!#REF!/1.086)</f>
        <v>#REF!</v>
      </c>
    </row>
    <row r="30" spans="1:5" ht="12">
      <c r="A30" t="s">
        <v>56</v>
      </c>
      <c r="B30" s="3" t="e">
        <f>(Sheet1!#REF!)</f>
        <v>#REF!</v>
      </c>
      <c r="C30" s="3" t="e">
        <f>(Sheet1!#REF!/1.028)</f>
        <v>#REF!</v>
      </c>
      <c r="D30" s="3" t="e">
        <f>(Sheet1!#REF!/1.057)</f>
        <v>#REF!</v>
      </c>
      <c r="E30" s="3" t="e">
        <f>(Sheet1!#REF!/1.086)</f>
        <v>#REF!</v>
      </c>
    </row>
    <row r="31" spans="1:5" ht="12">
      <c r="A31" t="s">
        <v>52</v>
      </c>
      <c r="B31" s="3" t="e">
        <f>(Sheet1!#REF!)</f>
        <v>#REF!</v>
      </c>
      <c r="C31" s="3" t="e">
        <f>(Sheet1!#REF!/1.028)</f>
        <v>#REF!</v>
      </c>
      <c r="D31" s="3" t="e">
        <f>(Sheet1!#REF!/1.057)</f>
        <v>#REF!</v>
      </c>
      <c r="E31" s="3" t="e">
        <f>(Sheet1!#REF!/1.086)</f>
        <v>#REF!</v>
      </c>
    </row>
    <row r="32" spans="1:10" ht="12">
      <c r="A32" s="2" t="s">
        <v>41</v>
      </c>
      <c r="B32" s="5" t="e">
        <f>SUM(B28:B31)</f>
        <v>#REF!</v>
      </c>
      <c r="C32" s="5" t="e">
        <f>SUM(C28:C31)</f>
        <v>#REF!</v>
      </c>
      <c r="D32" s="5" t="e">
        <f>SUM(D28:D31)</f>
        <v>#REF!</v>
      </c>
      <c r="E32" s="5" t="e">
        <f>SUM(E28:E31)</f>
        <v>#REF!</v>
      </c>
      <c r="F32" s="5" t="e">
        <f>SUM(B32:E32)</f>
        <v>#REF!</v>
      </c>
      <c r="G32" t="e">
        <f>F32*0.05</f>
        <v>#REF!</v>
      </c>
      <c r="H32" t="e">
        <f>(H$8/B$8)*B32</f>
        <v>#REF!</v>
      </c>
      <c r="I32" t="e">
        <f>(I$8/B$8)*B32</f>
        <v>#REF!</v>
      </c>
      <c r="J32" t="e">
        <f>((J$8-36)/11)*B32+C32+D32+E32</f>
        <v>#REF!</v>
      </c>
    </row>
    <row r="33" spans="1:5" ht="12">
      <c r="A33" s="1"/>
      <c r="B33" s="3"/>
      <c r="C33" s="3"/>
      <c r="D33" s="3"/>
      <c r="E33" s="3"/>
    </row>
    <row r="34" spans="1:10" ht="12">
      <c r="A34" s="2" t="s">
        <v>45</v>
      </c>
      <c r="B34" s="5">
        <v>0</v>
      </c>
      <c r="C34" s="5">
        <v>0</v>
      </c>
      <c r="D34" s="5">
        <v>0</v>
      </c>
      <c r="E34" s="5">
        <v>0</v>
      </c>
      <c r="F34" s="5">
        <f>SUM(B34:E34)</f>
        <v>0</v>
      </c>
      <c r="H34">
        <f>(H$8/B$8)*B34</f>
        <v>0</v>
      </c>
      <c r="J34">
        <f>((J$8-36)/11)*B34+C34+D34+E34</f>
        <v>0</v>
      </c>
    </row>
    <row r="35" spans="1:6" ht="12">
      <c r="A35" s="14"/>
      <c r="B35" s="15"/>
      <c r="C35" s="15"/>
      <c r="D35" s="15"/>
      <c r="E35" s="15"/>
      <c r="F35" s="15"/>
    </row>
    <row r="36" spans="1:6" ht="12">
      <c r="A36" s="16" t="s">
        <v>93</v>
      </c>
      <c r="B36" s="3" t="e">
        <f>(Sheet1!#REF!)</f>
        <v>#REF!</v>
      </c>
      <c r="C36" s="3" t="e">
        <f>(Sheet1!#REF!/1.028)</f>
        <v>#REF!</v>
      </c>
      <c r="D36" s="3" t="e">
        <f>(Sheet1!#REF!/1.057)</f>
        <v>#REF!</v>
      </c>
      <c r="E36" s="3" t="e">
        <f>(Sheet1!#REF!/1.086)</f>
        <v>#REF!</v>
      </c>
      <c r="F36" s="15"/>
    </row>
    <row r="37" spans="1:5" ht="12">
      <c r="A37" s="17" t="s">
        <v>94</v>
      </c>
      <c r="B37" s="3" t="e">
        <f>(Sheet1!#REF!)</f>
        <v>#REF!</v>
      </c>
      <c r="C37" s="3" t="e">
        <f>(Sheet1!#REF!/1.028)</f>
        <v>#REF!</v>
      </c>
      <c r="D37" s="3" t="e">
        <f>(Sheet1!#REF!/1.057)</f>
        <v>#REF!</v>
      </c>
      <c r="E37" s="3" t="e">
        <f>(Sheet1!#REF!/1.086)</f>
        <v>#REF!</v>
      </c>
    </row>
    <row r="38" spans="1:10" ht="12">
      <c r="A38" s="2" t="s">
        <v>42</v>
      </c>
      <c r="B38" s="5" t="e">
        <f>SUM(B36:B37)</f>
        <v>#REF!</v>
      </c>
      <c r="C38" s="5" t="e">
        <f>SUM(C36:C37)</f>
        <v>#REF!</v>
      </c>
      <c r="D38" s="5" t="e">
        <f>SUM(D36:D37)</f>
        <v>#REF!</v>
      </c>
      <c r="E38" s="5" t="e">
        <f>SUM(E36:E37)</f>
        <v>#REF!</v>
      </c>
      <c r="F38" s="5" t="e">
        <f>SUM(B38:E38)</f>
        <v>#REF!</v>
      </c>
      <c r="G38" t="e">
        <f>F38*0.05</f>
        <v>#REF!</v>
      </c>
      <c r="H38" t="e">
        <f>(H$8/B$8)*B38</f>
        <v>#REF!</v>
      </c>
      <c r="I38" t="e">
        <f>(I$8/B$8)*B38</f>
        <v>#REF!</v>
      </c>
      <c r="J38" t="e">
        <f>((J$8-36)/11)*B38+C38+D38+E38</f>
        <v>#REF!</v>
      </c>
    </row>
    <row r="39" spans="2:5" ht="12">
      <c r="B39" s="3"/>
      <c r="C39" s="3"/>
      <c r="D39" s="3"/>
      <c r="E39" s="3"/>
    </row>
    <row r="40" spans="1:5" ht="12">
      <c r="A40" t="s">
        <v>70</v>
      </c>
      <c r="B40" s="3">
        <v>4</v>
      </c>
      <c r="C40" s="3">
        <v>4</v>
      </c>
      <c r="D40" s="3">
        <v>5</v>
      </c>
      <c r="E40" s="3">
        <v>6</v>
      </c>
    </row>
    <row r="41" spans="1:5" ht="12">
      <c r="A41" t="s">
        <v>71</v>
      </c>
      <c r="B41" s="3" t="e">
        <f>(Sheet1!#REF!)</f>
        <v>#REF!</v>
      </c>
      <c r="C41" s="3" t="e">
        <f>(Sheet1!#REF!/1.028)</f>
        <v>#REF!</v>
      </c>
      <c r="D41" s="3" t="e">
        <f>(Sheet1!#REF!/1.057)</f>
        <v>#REF!</v>
      </c>
      <c r="E41" s="3" t="e">
        <f>(Sheet1!#REF!/1.086)</f>
        <v>#REF!</v>
      </c>
    </row>
    <row r="42" spans="1:5" ht="12">
      <c r="A42" t="s">
        <v>53</v>
      </c>
      <c r="B42" s="4" t="e">
        <f>B40*B41</f>
        <v>#REF!</v>
      </c>
      <c r="C42" s="4" t="e">
        <f>C40*C41</f>
        <v>#REF!</v>
      </c>
      <c r="D42" s="4" t="e">
        <f>D40*D41</f>
        <v>#REF!</v>
      </c>
      <c r="E42" s="4" t="e">
        <f>E40*E41</f>
        <v>#REF!</v>
      </c>
    </row>
    <row r="43" spans="1:5" ht="22.5">
      <c r="A43" s="9" t="s">
        <v>58</v>
      </c>
      <c r="B43" s="3" t="e">
        <f>(Sheet1!#REF!)</f>
        <v>#REF!</v>
      </c>
      <c r="C43" s="3" t="e">
        <f>(Sheet1!#REF!/1.028)</f>
        <v>#REF!</v>
      </c>
      <c r="D43" s="3" t="e">
        <f>(Sheet1!#REF!/1.057)</f>
        <v>#REF!</v>
      </c>
      <c r="E43" s="3" t="e">
        <f>(Sheet1!#REF!/1.086)</f>
        <v>#REF!</v>
      </c>
    </row>
    <row r="44" spans="1:5" ht="12">
      <c r="A44" t="s">
        <v>86</v>
      </c>
      <c r="B44" s="3" t="e">
        <f>(Sheet1!#REF!)</f>
        <v>#REF!</v>
      </c>
      <c r="C44" s="3" t="e">
        <f>(Sheet1!#REF!/1.028)</f>
        <v>#REF!</v>
      </c>
      <c r="D44" s="3" t="e">
        <f>(Sheet1!#REF!/1.057)</f>
        <v>#REF!</v>
      </c>
      <c r="E44" s="3" t="e">
        <f>(Sheet1!#REF!/1.086)</f>
        <v>#REF!</v>
      </c>
    </row>
    <row r="45" spans="1:5" ht="12">
      <c r="A45" t="s">
        <v>86</v>
      </c>
      <c r="B45" s="3" t="e">
        <f>(Sheet1!#REF!)</f>
        <v>#REF!</v>
      </c>
      <c r="C45" s="3" t="e">
        <f>(Sheet1!#REF!/1.028)</f>
        <v>#REF!</v>
      </c>
      <c r="D45" s="3" t="e">
        <f>(Sheet1!#REF!/1.057)</f>
        <v>#REF!</v>
      </c>
      <c r="E45" s="3" t="e">
        <f>(Sheet1!#REF!/1.086)</f>
        <v>#REF!</v>
      </c>
    </row>
    <row r="46" spans="1:5" ht="12">
      <c r="A46" t="s">
        <v>59</v>
      </c>
      <c r="B46" s="3" t="e">
        <f>(Sheet1!#REF!)</f>
        <v>#REF!</v>
      </c>
      <c r="C46" s="3" t="e">
        <f>(Sheet1!#REF!/1.028)</f>
        <v>#REF!</v>
      </c>
      <c r="D46" s="3" t="e">
        <f>(Sheet1!#REF!/1.057)</f>
        <v>#REF!</v>
      </c>
      <c r="E46" s="3" t="e">
        <f>(Sheet1!#REF!/1.086)</f>
        <v>#REF!</v>
      </c>
    </row>
    <row r="47" spans="1:10" ht="12">
      <c r="A47" s="2" t="s">
        <v>43</v>
      </c>
      <c r="B47" s="5" t="e">
        <f>SUM(B42:B46)</f>
        <v>#REF!</v>
      </c>
      <c r="C47" s="5" t="e">
        <f>SUM(C42:C46)</f>
        <v>#REF!</v>
      </c>
      <c r="D47" s="5" t="e">
        <f>SUM(D42:D46)</f>
        <v>#REF!</v>
      </c>
      <c r="E47" s="5" t="e">
        <f>SUM(E42:E46)</f>
        <v>#REF!</v>
      </c>
      <c r="F47" s="5" t="e">
        <f>SUM(B47:E47)</f>
        <v>#REF!</v>
      </c>
      <c r="G47" t="e">
        <f>F47*0.05</f>
        <v>#REF!</v>
      </c>
      <c r="H47" t="e">
        <f>(H$8/B$8)*B47</f>
        <v>#REF!</v>
      </c>
      <c r="I47" t="e">
        <f>(I$8/B$8)*B47</f>
        <v>#REF!</v>
      </c>
      <c r="J47" t="e">
        <f>((J$8-36)/11)*B47+C47+D47+E47</f>
        <v>#REF!</v>
      </c>
    </row>
    <row r="48" spans="1:6" ht="12">
      <c r="A48" s="14"/>
      <c r="B48" s="15"/>
      <c r="C48" s="15"/>
      <c r="D48" s="15"/>
      <c r="E48" s="15"/>
      <c r="F48" s="15"/>
    </row>
    <row r="49" spans="1:5" ht="12">
      <c r="A49" s="17" t="s">
        <v>75</v>
      </c>
      <c r="B49" s="3" t="e">
        <f>(Sheet1!#REF!)</f>
        <v>#REF!</v>
      </c>
      <c r="C49" s="3" t="e">
        <f>(Sheet1!#REF!/1.028)</f>
        <v>#REF!</v>
      </c>
      <c r="D49" s="3" t="e">
        <f>(Sheet1!#REF!/1.057)</f>
        <v>#REF!</v>
      </c>
      <c r="E49" s="3" t="e">
        <f>(Sheet1!#REF!/1.086)</f>
        <v>#REF!</v>
      </c>
    </row>
    <row r="50" spans="1:5" ht="12">
      <c r="A50" t="s">
        <v>54</v>
      </c>
      <c r="B50" s="3">
        <v>0</v>
      </c>
      <c r="C50" s="3">
        <v>600</v>
      </c>
      <c r="D50" s="3">
        <v>0</v>
      </c>
      <c r="E50" s="3">
        <v>0</v>
      </c>
    </row>
    <row r="51" spans="1:5" ht="12">
      <c r="A51" t="s">
        <v>60</v>
      </c>
      <c r="B51" s="3" t="e">
        <f>(Sheet1!#REF!)</f>
        <v>#REF!</v>
      </c>
      <c r="C51" s="3" t="e">
        <f>(Sheet1!#REF!/1.028)</f>
        <v>#REF!</v>
      </c>
      <c r="D51" s="3" t="e">
        <f>(Sheet1!#REF!/1.057)</f>
        <v>#REF!</v>
      </c>
      <c r="E51" s="3" t="e">
        <f>(Sheet1!#REF!/1.086)</f>
        <v>#REF!</v>
      </c>
    </row>
    <row r="52" spans="1:5" ht="12">
      <c r="A52" t="s">
        <v>95</v>
      </c>
      <c r="B52" s="3" t="e">
        <f>(Sheet1!#REF!)</f>
        <v>#REF!</v>
      </c>
      <c r="C52" s="3" t="e">
        <f>(Sheet1!#REF!/1.028)</f>
        <v>#REF!</v>
      </c>
      <c r="D52" s="3" t="e">
        <f>(Sheet1!#REF!/1.057)</f>
        <v>#REF!</v>
      </c>
      <c r="E52" s="3" t="e">
        <f>(Sheet1!#REF!/1.086)</f>
        <v>#REF!</v>
      </c>
    </row>
    <row r="53" spans="1:5" ht="12">
      <c r="A53" t="s">
        <v>69</v>
      </c>
      <c r="B53" s="3" t="e">
        <f>(Sheet1!#REF!)</f>
        <v>#REF!</v>
      </c>
      <c r="C53" s="3" t="e">
        <f>(Sheet1!#REF!/1.028)</f>
        <v>#REF!</v>
      </c>
      <c r="D53" s="3" t="e">
        <f>(Sheet1!#REF!/1.057)</f>
        <v>#REF!</v>
      </c>
      <c r="E53" s="3" t="e">
        <f>(Sheet1!#REF!/1.086)</f>
        <v>#REF!</v>
      </c>
    </row>
    <row r="54" spans="1:10" ht="12">
      <c r="A54" s="2" t="s">
        <v>44</v>
      </c>
      <c r="B54" s="5" t="e">
        <f>SUM(B49:B53)</f>
        <v>#REF!</v>
      </c>
      <c r="C54" s="5" t="e">
        <f>SUM(C49:C53)</f>
        <v>#REF!</v>
      </c>
      <c r="D54" s="5" t="e">
        <f>SUM(D49:D53)</f>
        <v>#REF!</v>
      </c>
      <c r="E54" s="5" t="e">
        <f>SUM(E49:E53)</f>
        <v>#REF!</v>
      </c>
      <c r="F54" s="5" t="e">
        <f>SUM(B54:E54)</f>
        <v>#REF!</v>
      </c>
      <c r="G54" t="e">
        <f>F54*0.05</f>
        <v>#REF!</v>
      </c>
      <c r="H54" t="e">
        <f>(H$8/B$8)*B54</f>
        <v>#REF!</v>
      </c>
      <c r="I54" t="e">
        <f>(I$8/B$8)*B54</f>
        <v>#REF!</v>
      </c>
      <c r="J54" t="e">
        <f>((J$8-36)/11)*B54+C54+D54+E54</f>
        <v>#REF!</v>
      </c>
    </row>
    <row r="55" spans="2:5" ht="12">
      <c r="B55" s="3"/>
      <c r="C55" s="3"/>
      <c r="D55" s="3"/>
      <c r="E55" s="3"/>
    </row>
    <row r="56" spans="1:7" ht="12">
      <c r="A56" t="s">
        <v>61</v>
      </c>
      <c r="B56" s="12" t="e">
        <f aca="true" t="shared" si="0" ref="B56:G56">B54+B47+B34+B32+B26+B22</f>
        <v>#REF!</v>
      </c>
      <c r="C56" s="12" t="e">
        <f t="shared" si="0"/>
        <v>#REF!</v>
      </c>
      <c r="D56" s="12" t="e">
        <f t="shared" si="0"/>
        <v>#REF!</v>
      </c>
      <c r="E56" s="12" t="e">
        <f t="shared" si="0"/>
        <v>#REF!</v>
      </c>
      <c r="F56" s="12" t="e">
        <f t="shared" si="0"/>
        <v>#REF!</v>
      </c>
      <c r="G56" s="12" t="e">
        <f t="shared" si="0"/>
        <v>#REF!</v>
      </c>
    </row>
    <row r="57" spans="2:5" ht="12">
      <c r="B57" s="3"/>
      <c r="C57" s="3"/>
      <c r="D57" s="3"/>
      <c r="E57" s="3"/>
    </row>
    <row r="58" spans="1:10" ht="12">
      <c r="A58" s="2" t="s">
        <v>55</v>
      </c>
      <c r="B58" s="5" t="e">
        <f>0.515*B56</f>
        <v>#REF!</v>
      </c>
      <c r="C58" s="5" t="e">
        <f>0.515*C56</f>
        <v>#REF!</v>
      </c>
      <c r="D58" s="5" t="e">
        <f>0.515*D56</f>
        <v>#REF!</v>
      </c>
      <c r="E58" s="5" t="e">
        <f>0.515*E56</f>
        <v>#REF!</v>
      </c>
      <c r="F58" s="5" t="e">
        <f>SUM(B58:E58)</f>
        <v>#REF!</v>
      </c>
      <c r="G58" s="5" t="e">
        <f>0.515*G56</f>
        <v>#REF!</v>
      </c>
      <c r="H58" t="e">
        <f>(H$8/B$8)*B58</f>
        <v>#REF!</v>
      </c>
      <c r="I58" t="e">
        <f>(I$8/B$8)*B58</f>
        <v>#REF!</v>
      </c>
      <c r="J58" t="e">
        <f>((J$8-36)/11)*B58+C58+D58+E58</f>
        <v>#REF!</v>
      </c>
    </row>
    <row r="59" spans="1:6" ht="12.75" thickBot="1">
      <c r="A59" s="7"/>
      <c r="B59" s="8"/>
      <c r="C59" s="8"/>
      <c r="D59" s="8"/>
      <c r="E59" s="8"/>
      <c r="F59" s="7"/>
    </row>
    <row r="60" spans="1:10" ht="13.5" thickBot="1" thickTop="1">
      <c r="A60" s="6" t="s">
        <v>57</v>
      </c>
      <c r="B60" s="11" t="e">
        <f>B58+B54+B47+B38+B34+B32+B26+B22</f>
        <v>#REF!</v>
      </c>
      <c r="C60" s="11" t="e">
        <f>C58+C54+C47+C38+C34+C32+C26+C22</f>
        <v>#REF!</v>
      </c>
      <c r="D60" s="11" t="e">
        <f>D58+D54+D47+D38+D34+D32+D26+D22</f>
        <v>#REF!</v>
      </c>
      <c r="E60" s="11" t="e">
        <f>E58+E54+E47+E38+E34+E32+E26+E22</f>
        <v>#REF!</v>
      </c>
      <c r="F60" s="13" t="e">
        <f>SUM(B60:E60)</f>
        <v>#REF!</v>
      </c>
      <c r="G60" s="11" t="e">
        <f>G58+G54+G47+G38+G34+G32+G26+G22</f>
        <v>#REF!</v>
      </c>
      <c r="H60" t="e">
        <f>(H$8/B$8)*B60</f>
        <v>#REF!</v>
      </c>
      <c r="I60" t="e">
        <f>(I$8/B$8)*B60</f>
        <v>#REF!</v>
      </c>
      <c r="J60" t="e">
        <f>((J$8-36)/11)*B60+C60+D60+E60</f>
        <v>#REF!</v>
      </c>
    </row>
    <row r="61" ht="12.75" thickTop="1"/>
    <row r="62" spans="1:6" ht="12">
      <c r="A62" t="s">
        <v>100</v>
      </c>
      <c r="B62" t="e">
        <f>0.95*B60</f>
        <v>#REF!</v>
      </c>
      <c r="C62" t="e">
        <f>0.95*C60</f>
        <v>#REF!</v>
      </c>
      <c r="D62" t="e">
        <f>0.95*D60</f>
        <v>#REF!</v>
      </c>
      <c r="E62" t="e">
        <f>0.95*E60</f>
        <v>#REF!</v>
      </c>
      <c r="F62" t="e">
        <f>0.95*F60</f>
        <v>#REF!</v>
      </c>
    </row>
    <row r="63" spans="1:6" ht="12">
      <c r="A63" t="s">
        <v>101</v>
      </c>
      <c r="B63" t="e">
        <f>0.05*B60</f>
        <v>#REF!</v>
      </c>
      <c r="C63" t="e">
        <f>0.05*C60</f>
        <v>#REF!</v>
      </c>
      <c r="D63" t="e">
        <f>0.05*D60</f>
        <v>#REF!</v>
      </c>
      <c r="E63" t="e">
        <f>0.05*E60</f>
        <v>#REF!</v>
      </c>
      <c r="F63" t="e">
        <f>0.05*F60</f>
        <v>#REF!</v>
      </c>
    </row>
    <row r="64" spans="2:7" ht="12">
      <c r="B64" s="12" t="e">
        <f>0.5*B60</f>
        <v>#REF!</v>
      </c>
      <c r="C64" s="12" t="e">
        <f>0.5*C60</f>
        <v>#REF!</v>
      </c>
      <c r="D64" s="12" t="e">
        <f>0.5*D60</f>
        <v>#REF!</v>
      </c>
      <c r="E64" s="12" t="e">
        <f>0.5*E60</f>
        <v>#REF!</v>
      </c>
      <c r="F64" s="12" t="e">
        <f>0.5*F60</f>
        <v>#REF!</v>
      </c>
      <c r="G64" s="12" t="e">
        <f>SUM(B64:E64)</f>
        <v>#REF!</v>
      </c>
    </row>
    <row r="65" spans="2:7" ht="12">
      <c r="B65" s="12" t="e">
        <f>0.45*B60</f>
        <v>#REF!</v>
      </c>
      <c r="C65" s="12" t="e">
        <f>0.45*C60</f>
        <v>#REF!</v>
      </c>
      <c r="D65" s="12" t="e">
        <f>0.45*D60</f>
        <v>#REF!</v>
      </c>
      <c r="E65" s="12" t="e">
        <f>0.45*E60</f>
        <v>#REF!</v>
      </c>
      <c r="F65" s="12" t="e">
        <f>0.45*F60</f>
        <v>#REF!</v>
      </c>
      <c r="G65" s="12" t="e">
        <f>SUM(B65:E65)</f>
        <v>#REF!</v>
      </c>
    </row>
  </sheetData>
  <printOptions/>
  <pageMargins left="0.75" right="0.75" top="1" bottom="1" header="0.5" footer="0.5"/>
  <pageSetup fitToHeight="1" fitToWidth="1" horizontalDpi="600" verticalDpi="6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Lunar and Planetary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Ralph D. Lorenz</dc:creator>
  <cp:keywords/>
  <dc:description/>
  <cp:lastModifiedBy> - </cp:lastModifiedBy>
  <cp:lastPrinted>2001-12-03T21:50:47Z</cp:lastPrinted>
  <dcterms:created xsi:type="dcterms:W3CDTF">1999-11-17T16:48:25Z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